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0140" yWindow="0" windowWidth="10455" windowHeight="10905" tabRatio="642" firstSheet="1" activeTab="8"/>
  </bookViews>
  <sheets>
    <sheet name="Checklist" sheetId="57" r:id="rId1"/>
    <sheet name="F1" sheetId="58" r:id="rId2"/>
    <sheet name="F2" sheetId="66" r:id="rId3"/>
    <sheet name="F2.1" sheetId="67" r:id="rId4"/>
    <sheet name="F2.2" sheetId="68" r:id="rId5"/>
    <sheet name="F2.3" sheetId="69" r:id="rId6"/>
    <sheet name="F3" sheetId="93" r:id="rId7"/>
    <sheet name="F3.1" sheetId="101" r:id="rId8"/>
    <sheet name="F3.2" sheetId="109" r:id="rId9"/>
    <sheet name="F4" sheetId="102" r:id="rId10"/>
    <sheet name="F5" sheetId="103" r:id="rId11"/>
    <sheet name="F6" sheetId="104" r:id="rId12"/>
    <sheet name="F7" sheetId="105" r:id="rId13"/>
    <sheet name="F8" sheetId="106" r:id="rId14"/>
    <sheet name="F9" sheetId="64" r:id="rId15"/>
    <sheet name="F13" sheetId="71" r:id="rId16"/>
    <sheet name="F15" sheetId="91" r:id="rId17"/>
  </sheets>
  <externalReferences>
    <externalReference r:id="rId18"/>
    <externalReference r:id="rId19"/>
    <externalReference r:id="rId20"/>
  </externalReferences>
  <definedNames>
    <definedName name="__123Graph_A" localSheetId="6" hidden="1">[1]CE!#REF!</definedName>
    <definedName name="__123Graph_A" localSheetId="7" hidden="1">[1]CE!#REF!</definedName>
    <definedName name="__123Graph_A" localSheetId="9"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STNPLF" localSheetId="6" hidden="1">[1]CE!#REF!</definedName>
    <definedName name="__123Graph_ASTNPLF" localSheetId="7"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B" localSheetId="6" hidden="1">[1]CE!#REF!</definedName>
    <definedName name="__123Graph_B" localSheetId="7" hidden="1">[1]CE!#REF!</definedName>
    <definedName name="__123Graph_B" localSheetId="9"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STNPLF" localSheetId="6" hidden="1">[1]CE!#REF!</definedName>
    <definedName name="__123Graph_BSTNPLF" localSheetId="7"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C" localSheetId="6" hidden="1">[1]CE!#REF!</definedName>
    <definedName name="__123Graph_C" localSheetId="7" hidden="1">[1]CE!#REF!</definedName>
    <definedName name="__123Graph_C" localSheetId="9"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STNPLF" localSheetId="6" hidden="1">[1]CE!#REF!</definedName>
    <definedName name="__123Graph_CSTNPLF" localSheetId="7"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X" localSheetId="6" hidden="1">[1]CE!#REF!</definedName>
    <definedName name="__123Graph_X" localSheetId="7" hidden="1">[1]CE!#REF!</definedName>
    <definedName name="__123Graph_X" localSheetId="9"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STNPLF" localSheetId="6" hidden="1">[1]CE!#REF!</definedName>
    <definedName name="__123Graph_XSTNPLF" localSheetId="7"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Fill" localSheetId="6" hidden="1">#REF!</definedName>
    <definedName name="_Fill" localSheetId="7"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Order1" hidden="1">255</definedName>
    <definedName name="new" localSheetId="6" hidden="1">[2]CE!#REF!</definedName>
    <definedName name="new" localSheetId="7" hidden="1">[2]CE!#REF!</definedName>
    <definedName name="new" localSheetId="9"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_xlnm.Print_Area" localSheetId="0">Checklist!$A$1:$E$26</definedName>
    <definedName name="_xlnm.Print_Area" localSheetId="12">'F7'!$B$2:$J$23</definedName>
    <definedName name="xxxx" localSheetId="6" hidden="1">[3]CE!#REF!</definedName>
    <definedName name="xxxx" localSheetId="7" hidden="1">[3]CE!#REF!</definedName>
    <definedName name="xxxx" localSheetId="9"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s>
  <calcPr calcId="144525" iterate="1" iterateCount="10000"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01" l="1"/>
  <c r="H18" i="101"/>
  <c r="G18" i="101"/>
  <c r="F18" i="101"/>
  <c r="F15" i="101"/>
  <c r="H13" i="101"/>
  <c r="H12" i="101"/>
  <c r="H11" i="101"/>
  <c r="H10" i="101"/>
  <c r="H9" i="101"/>
  <c r="H15" i="101" s="1"/>
  <c r="H8" i="101"/>
  <c r="F9" i="109" l="1"/>
  <c r="D9" i="109"/>
  <c r="Q28" i="91"/>
  <c r="F24" i="91"/>
  <c r="G24" i="91"/>
  <c r="H24" i="91"/>
  <c r="I24" i="91"/>
  <c r="J24" i="91"/>
  <c r="K24" i="91"/>
  <c r="L24" i="91"/>
  <c r="M24" i="91"/>
  <c r="N24" i="91"/>
  <c r="O24" i="91"/>
  <c r="P24" i="91"/>
  <c r="E24" i="91"/>
  <c r="F15" i="91"/>
  <c r="G15" i="91"/>
  <c r="H15" i="91"/>
  <c r="I15" i="91"/>
  <c r="J15" i="91"/>
  <c r="K15" i="91"/>
  <c r="L15" i="91"/>
  <c r="M15" i="91"/>
  <c r="N15" i="91"/>
  <c r="O15" i="91"/>
  <c r="P15" i="91"/>
  <c r="E15" i="91"/>
  <c r="Q24" i="91"/>
  <c r="Q20" i="91"/>
  <c r="Q18" i="91"/>
  <c r="Q14" i="91"/>
  <c r="Q13" i="91"/>
  <c r="Q15" i="91" s="1"/>
  <c r="E35" i="67"/>
  <c r="F35" i="67"/>
  <c r="D35" i="67"/>
  <c r="E38" i="68"/>
  <c r="F38" i="68"/>
  <c r="D38" i="68"/>
  <c r="E31" i="103"/>
  <c r="E43" i="103"/>
  <c r="F43" i="103"/>
  <c r="E42" i="103"/>
  <c r="F42" i="103"/>
  <c r="E41" i="103"/>
  <c r="F45" i="103"/>
  <c r="E45" i="103"/>
  <c r="E47" i="103"/>
  <c r="F47" i="103"/>
  <c r="D47" i="103"/>
  <c r="D46" i="103"/>
  <c r="D45" i="103"/>
  <c r="D42" i="103"/>
  <c r="D43" i="103"/>
  <c r="D41" i="103"/>
  <c r="E18" i="69"/>
  <c r="F18" i="69"/>
  <c r="D18" i="69"/>
  <c r="G53" i="102"/>
  <c r="H53" i="102"/>
  <c r="K53" i="102"/>
  <c r="L53" i="102"/>
  <c r="G37" i="102"/>
  <c r="H37" i="102"/>
  <c r="K37" i="102"/>
  <c r="J11" i="58" s="1"/>
  <c r="L37" i="102"/>
  <c r="G21" i="102"/>
  <c r="H21" i="102"/>
  <c r="J21" i="102"/>
  <c r="K21" i="102"/>
  <c r="L21" i="102"/>
  <c r="F21" i="102"/>
  <c r="E12" i="93" l="1"/>
  <c r="O30" i="71"/>
  <c r="N32" i="71"/>
  <c r="M32" i="71"/>
  <c r="L32" i="71"/>
  <c r="K32" i="71"/>
  <c r="J32" i="71"/>
  <c r="I32" i="71"/>
  <c r="H32" i="71"/>
  <c r="G32" i="71"/>
  <c r="F32" i="71"/>
  <c r="E32" i="71"/>
  <c r="D32" i="71"/>
  <c r="C32" i="71"/>
  <c r="N22" i="71"/>
  <c r="M22" i="71"/>
  <c r="L22" i="71"/>
  <c r="K22" i="71"/>
  <c r="J22" i="71"/>
  <c r="I22" i="71"/>
  <c r="H22" i="71"/>
  <c r="G22" i="71"/>
  <c r="F22" i="71"/>
  <c r="E22" i="71"/>
  <c r="D22" i="71"/>
  <c r="C22" i="71"/>
  <c r="N10" i="71"/>
  <c r="M10" i="71"/>
  <c r="L10" i="71"/>
  <c r="K10" i="71"/>
  <c r="J10" i="71"/>
  <c r="I10" i="71"/>
  <c r="H10" i="71"/>
  <c r="G10" i="71"/>
  <c r="F10" i="71"/>
  <c r="E10" i="71"/>
  <c r="D10" i="71"/>
  <c r="C10" i="71"/>
  <c r="N8" i="71"/>
  <c r="N12" i="71" s="1"/>
  <c r="M8" i="71"/>
  <c r="M12" i="71" s="1"/>
  <c r="L8" i="71"/>
  <c r="L12" i="71" s="1"/>
  <c r="K8" i="71"/>
  <c r="K12" i="71" s="1"/>
  <c r="J8" i="71"/>
  <c r="J12" i="71" s="1"/>
  <c r="I8" i="71"/>
  <c r="I12" i="71" s="1"/>
  <c r="H8" i="71"/>
  <c r="H12" i="71" s="1"/>
  <c r="G8" i="71"/>
  <c r="G12" i="71" s="1"/>
  <c r="F8" i="71"/>
  <c r="F12" i="71" s="1"/>
  <c r="E8" i="71"/>
  <c r="E12" i="71" s="1"/>
  <c r="D8" i="71"/>
  <c r="D12" i="71" s="1"/>
  <c r="C8" i="71"/>
  <c r="O10" i="71" l="1"/>
  <c r="O8" i="71"/>
  <c r="O12" i="71" s="1"/>
  <c r="C12" i="71"/>
  <c r="O28" i="71"/>
  <c r="O32" i="71" s="1"/>
  <c r="J29" i="106"/>
  <c r="H29" i="106"/>
  <c r="F29" i="106"/>
  <c r="E29" i="106"/>
  <c r="O22" i="71" l="1"/>
  <c r="B10" i="106"/>
  <c r="B11" i="106" s="1"/>
  <c r="B12" i="106" s="1"/>
  <c r="B13" i="106" s="1"/>
  <c r="B14" i="106" s="1"/>
  <c r="B15" i="106" s="1"/>
  <c r="B16" i="106" s="1"/>
  <c r="B17" i="106" s="1"/>
  <c r="B18" i="106" s="1"/>
  <c r="B19" i="106" s="1"/>
  <c r="B20" i="106" s="1"/>
  <c r="B21" i="106" s="1"/>
  <c r="B22" i="106" s="1"/>
  <c r="B23" i="106" s="1"/>
  <c r="B24" i="106" s="1"/>
  <c r="B25" i="106" s="1"/>
  <c r="B26" i="106" s="1"/>
  <c r="B27" i="106" s="1"/>
  <c r="L15" i="58"/>
  <c r="D19" i="103"/>
  <c r="G19" i="103"/>
  <c r="I3" i="91" l="1"/>
  <c r="D3" i="64"/>
  <c r="E3" i="106"/>
  <c r="D3" i="105"/>
  <c r="E3" i="104"/>
  <c r="E3" i="103"/>
  <c r="H3" i="102"/>
  <c r="D3" i="109"/>
  <c r="B3" i="93"/>
  <c r="B3" i="69"/>
  <c r="C2" i="68"/>
  <c r="A2" i="67"/>
  <c r="F3" i="66"/>
  <c r="I13" i="66"/>
  <c r="E13" i="104"/>
  <c r="H11" i="58"/>
  <c r="G11" i="58" s="1"/>
  <c r="F18" i="104"/>
  <c r="L11" i="58" l="1"/>
  <c r="D13" i="93" l="1"/>
  <c r="F10" i="58" l="1"/>
  <c r="K13" i="66" l="1"/>
  <c r="F10" i="105" l="1"/>
  <c r="F11" i="105" s="1"/>
  <c r="G10" i="105"/>
  <c r="G11" i="105" s="1"/>
  <c r="H10" i="105"/>
  <c r="H11" i="105" s="1"/>
  <c r="I10" i="105"/>
  <c r="I11" i="105" s="1"/>
  <c r="J10" i="105"/>
  <c r="J11" i="105" s="1"/>
  <c r="E10" i="105"/>
  <c r="E11" i="105" s="1"/>
  <c r="E9" i="105" l="1"/>
  <c r="D20" i="69"/>
  <c r="F14" i="103"/>
  <c r="G14" i="103"/>
  <c r="I14" i="103"/>
  <c r="E14" i="103"/>
  <c r="F13" i="103"/>
  <c r="G13" i="103"/>
  <c r="H13" i="103"/>
  <c r="I13" i="103"/>
  <c r="J13" i="103"/>
  <c r="E13" i="103"/>
  <c r="E10" i="103"/>
  <c r="E9" i="103"/>
  <c r="I13" i="93" l="1"/>
  <c r="K12" i="58"/>
  <c r="K14" i="58" l="1"/>
  <c r="K10" i="58"/>
  <c r="K13" i="58"/>
  <c r="G15" i="58" l="1"/>
  <c r="H15" i="58" s="1"/>
  <c r="K15" i="58"/>
  <c r="D25" i="106"/>
  <c r="K16" i="58" l="1"/>
  <c r="I17" i="105"/>
  <c r="M11" i="102" l="1"/>
  <c r="J27" i="102" s="1"/>
  <c r="M12" i="102"/>
  <c r="J28" i="102" s="1"/>
  <c r="M15" i="102"/>
  <c r="M16" i="102"/>
  <c r="M17" i="102"/>
  <c r="M18" i="102"/>
  <c r="M19" i="102"/>
  <c r="M20" i="102"/>
  <c r="M10" i="102"/>
  <c r="M14" i="102"/>
  <c r="J26" i="102" l="1"/>
  <c r="M28" i="102"/>
  <c r="J44" i="102" s="1"/>
  <c r="M44" i="102" s="1"/>
  <c r="J32" i="102"/>
  <c r="J34" i="102"/>
  <c r="M34" i="102" s="1"/>
  <c r="J36" i="102"/>
  <c r="M36" i="102" s="1"/>
  <c r="J30" i="102"/>
  <c r="J35" i="102"/>
  <c r="M35" i="102" s="1"/>
  <c r="J33" i="102"/>
  <c r="M27" i="102"/>
  <c r="J43" i="102" s="1"/>
  <c r="J31" i="102"/>
  <c r="N13" i="102"/>
  <c r="I13" i="102"/>
  <c r="F29" i="102" s="1"/>
  <c r="N20" i="102"/>
  <c r="I20" i="102"/>
  <c r="F36" i="102" s="1"/>
  <c r="N19" i="102"/>
  <c r="I19" i="102"/>
  <c r="F35" i="102" s="1"/>
  <c r="N18" i="102"/>
  <c r="I18" i="102"/>
  <c r="F34" i="102" s="1"/>
  <c r="N17" i="102"/>
  <c r="I17" i="102"/>
  <c r="F33" i="102" s="1"/>
  <c r="N33" i="102" s="1"/>
  <c r="N16" i="102"/>
  <c r="I16" i="102"/>
  <c r="N15" i="102"/>
  <c r="I15" i="102"/>
  <c r="N14" i="102"/>
  <c r="N12" i="102"/>
  <c r="I12" i="102"/>
  <c r="N11" i="102"/>
  <c r="I11" i="102"/>
  <c r="N10" i="102"/>
  <c r="I10" i="102"/>
  <c r="N34" i="102" l="1"/>
  <c r="N21" i="102"/>
  <c r="F32" i="102"/>
  <c r="N32" i="102" s="1"/>
  <c r="M26" i="102"/>
  <c r="F31" i="102"/>
  <c r="N31" i="102" s="1"/>
  <c r="N36" i="102"/>
  <c r="N35" i="102"/>
  <c r="M43" i="102"/>
  <c r="M31" i="102"/>
  <c r="J47" i="102" s="1"/>
  <c r="M47" i="102" s="1"/>
  <c r="M33" i="102"/>
  <c r="J49" i="102" s="1"/>
  <c r="M49" i="102" s="1"/>
  <c r="M30" i="102"/>
  <c r="J46" i="102" s="1"/>
  <c r="M46" i="102" s="1"/>
  <c r="M32" i="102"/>
  <c r="J48" i="102" s="1"/>
  <c r="M48" i="102" s="1"/>
  <c r="F26" i="102"/>
  <c r="O11" i="102"/>
  <c r="F27" i="102"/>
  <c r="N27" i="102" s="1"/>
  <c r="O12" i="102"/>
  <c r="F28" i="102"/>
  <c r="N28" i="102" s="1"/>
  <c r="O15" i="102"/>
  <c r="O16" i="102"/>
  <c r="O17" i="102"/>
  <c r="O18" i="102"/>
  <c r="O19" i="102"/>
  <c r="O20" i="102"/>
  <c r="J50" i="102"/>
  <c r="M50" i="102" s="1"/>
  <c r="O10" i="102"/>
  <c r="M13" i="102"/>
  <c r="M21" i="102" l="1"/>
  <c r="J42" i="102"/>
  <c r="J29" i="102"/>
  <c r="I35" i="102"/>
  <c r="I33" i="102"/>
  <c r="O33" i="102" s="1"/>
  <c r="I32" i="102"/>
  <c r="O32" i="102" s="1"/>
  <c r="I31" i="102"/>
  <c r="O31" i="102" s="1"/>
  <c r="I29" i="102"/>
  <c r="I28" i="102"/>
  <c r="O28" i="102" s="1"/>
  <c r="I27" i="102"/>
  <c r="O27" i="102" s="1"/>
  <c r="N26" i="102"/>
  <c r="I26" i="102"/>
  <c r="O13" i="102"/>
  <c r="J37" i="102" l="1"/>
  <c r="M42" i="102"/>
  <c r="F42" i="102"/>
  <c r="F51" i="102"/>
  <c r="I51" i="102" s="1"/>
  <c r="O35" i="102"/>
  <c r="M29" i="102"/>
  <c r="N29" i="102"/>
  <c r="F43" i="102"/>
  <c r="F44" i="102"/>
  <c r="N44" i="102" s="1"/>
  <c r="F45" i="102"/>
  <c r="F47" i="102"/>
  <c r="N47" i="102" s="1"/>
  <c r="F48" i="102"/>
  <c r="N48" i="102" s="1"/>
  <c r="F49" i="102"/>
  <c r="N49" i="102" s="1"/>
  <c r="O26" i="102"/>
  <c r="I34" i="102"/>
  <c r="M37" i="102" l="1"/>
  <c r="N42" i="102"/>
  <c r="I42" i="102"/>
  <c r="O42" i="102" s="1"/>
  <c r="N43" i="102"/>
  <c r="F50" i="102"/>
  <c r="N50" i="102" s="1"/>
  <c r="O34" i="102"/>
  <c r="J45" i="102"/>
  <c r="O29" i="102"/>
  <c r="J51" i="102"/>
  <c r="I49" i="102"/>
  <c r="O49" i="102" s="1"/>
  <c r="I48" i="102"/>
  <c r="O48" i="102" s="1"/>
  <c r="I47" i="102"/>
  <c r="I45" i="102"/>
  <c r="I44" i="102"/>
  <c r="O44" i="102" s="1"/>
  <c r="I43" i="102"/>
  <c r="O47" i="102" l="1"/>
  <c r="I50" i="102"/>
  <c r="O50" i="102" s="1"/>
  <c r="O43" i="102"/>
  <c r="M51" i="102"/>
  <c r="O51" i="102" s="1"/>
  <c r="N51" i="102"/>
  <c r="M45" i="102"/>
  <c r="N45" i="102"/>
  <c r="O45" i="102" l="1"/>
  <c r="F25" i="67" l="1"/>
  <c r="F33" i="67" s="1"/>
  <c r="E25" i="67"/>
  <c r="E33" i="67" s="1"/>
  <c r="D25" i="67"/>
  <c r="D33" i="67" s="1"/>
  <c r="K11" i="66" l="1"/>
  <c r="I11" i="66"/>
  <c r="G11" i="103"/>
  <c r="E15" i="109"/>
  <c r="K21" i="58" l="1"/>
  <c r="D11" i="105"/>
  <c r="I17" i="104" l="1"/>
  <c r="D15" i="109"/>
  <c r="D13" i="105"/>
  <c r="D11" i="103"/>
  <c r="F11" i="66" l="1"/>
  <c r="G11" i="66" s="1"/>
  <c r="F36" i="68"/>
  <c r="E36" i="68"/>
  <c r="D36" i="68"/>
  <c r="F13" i="66"/>
  <c r="G13" i="66" s="1"/>
  <c r="G13" i="93"/>
  <c r="F15" i="109"/>
  <c r="E44" i="103"/>
  <c r="E49" i="103" s="1"/>
  <c r="D44" i="103"/>
  <c r="E34" i="103"/>
  <c r="F31" i="103" s="1"/>
  <c r="F41" i="103" s="1"/>
  <c r="F44" i="103" s="1"/>
  <c r="F49" i="103" s="1"/>
  <c r="D34" i="103"/>
  <c r="D17" i="105"/>
  <c r="J17" i="105"/>
  <c r="H17" i="105"/>
  <c r="G17" i="105"/>
  <c r="F17" i="105"/>
  <c r="E17" i="105"/>
  <c r="G13" i="105"/>
  <c r="I12" i="66" l="1"/>
  <c r="I14" i="66" s="1"/>
  <c r="H12" i="104" s="1"/>
  <c r="K12" i="66"/>
  <c r="K14" i="66" s="1"/>
  <c r="J12" i="104" s="1"/>
  <c r="D39" i="103"/>
  <c r="F12" i="66"/>
  <c r="G12" i="66" s="1"/>
  <c r="G14" i="66" s="1"/>
  <c r="F12" i="104" s="1"/>
  <c r="F10" i="103"/>
  <c r="H10" i="103" s="1"/>
  <c r="F9" i="105"/>
  <c r="F19" i="105" s="1"/>
  <c r="D18" i="109"/>
  <c r="D21" i="109" s="1"/>
  <c r="F18" i="109"/>
  <c r="F21" i="109" s="1"/>
  <c r="D19" i="105"/>
  <c r="D20" i="105" s="1"/>
  <c r="E18" i="109"/>
  <c r="E21" i="109" s="1"/>
  <c r="I10" i="58"/>
  <c r="F12" i="58"/>
  <c r="I12" i="58"/>
  <c r="G19" i="105"/>
  <c r="F14" i="66" l="1"/>
  <c r="E12" i="104" s="1"/>
  <c r="E39" i="103"/>
  <c r="F34" i="103"/>
  <c r="E19" i="105"/>
  <c r="I36" i="102"/>
  <c r="F9" i="103"/>
  <c r="F11" i="103" s="1"/>
  <c r="E11" i="103"/>
  <c r="F13" i="93"/>
  <c r="H9" i="103"/>
  <c r="J10" i="58"/>
  <c r="H10" i="58"/>
  <c r="D49" i="103"/>
  <c r="F18" i="103"/>
  <c r="E13" i="93"/>
  <c r="H10" i="93" s="1"/>
  <c r="H13" i="93" s="1"/>
  <c r="J10" i="93" s="1"/>
  <c r="J13" i="93" s="1"/>
  <c r="E13" i="105"/>
  <c r="H9" i="105" s="1"/>
  <c r="F13" i="105"/>
  <c r="F20" i="105" s="1"/>
  <c r="F21" i="105" s="1"/>
  <c r="H14" i="58" s="1"/>
  <c r="D21" i="69"/>
  <c r="L10" i="58"/>
  <c r="G20" i="105"/>
  <c r="I14" i="58" s="1"/>
  <c r="F14" i="58"/>
  <c r="G10" i="58" l="1"/>
  <c r="F39" i="103"/>
  <c r="F52" i="102"/>
  <c r="I52" i="102" s="1"/>
  <c r="O36" i="102"/>
  <c r="I14" i="102"/>
  <c r="E20" i="105"/>
  <c r="E21" i="105" s="1"/>
  <c r="G14" i="58" s="1"/>
  <c r="J9" i="103"/>
  <c r="H11" i="103"/>
  <c r="H19" i="105"/>
  <c r="H13" i="105"/>
  <c r="I21" i="102" l="1"/>
  <c r="E21" i="102" s="1"/>
  <c r="F30" i="102"/>
  <c r="F37" i="102" s="1"/>
  <c r="O14" i="102"/>
  <c r="J52" i="102"/>
  <c r="J9" i="105"/>
  <c r="H20" i="105"/>
  <c r="O21" i="102" l="1"/>
  <c r="J53" i="102"/>
  <c r="H13" i="104"/>
  <c r="J13" i="104"/>
  <c r="M52" i="102"/>
  <c r="N52" i="102"/>
  <c r="N30" i="102"/>
  <c r="F13" i="104"/>
  <c r="H14" i="103"/>
  <c r="H16" i="103" s="1"/>
  <c r="E20" i="69"/>
  <c r="E21" i="69" s="1"/>
  <c r="I30" i="102"/>
  <c r="H21" i="105"/>
  <c r="J14" i="58" s="1"/>
  <c r="E15" i="103"/>
  <c r="E17" i="103" s="1"/>
  <c r="E16" i="103"/>
  <c r="F16" i="103"/>
  <c r="F15" i="103"/>
  <c r="F17" i="103" s="1"/>
  <c r="J19" i="105"/>
  <c r="J13" i="105"/>
  <c r="J15" i="58"/>
  <c r="I15" i="58"/>
  <c r="F15" i="58"/>
  <c r="I37" i="102" l="1"/>
  <c r="N37" i="102"/>
  <c r="M53" i="102"/>
  <c r="F19" i="103"/>
  <c r="F21" i="103" s="1"/>
  <c r="H12" i="58" s="1"/>
  <c r="E19" i="103"/>
  <c r="E21" i="103" s="1"/>
  <c r="G12" i="58" s="1"/>
  <c r="O30" i="102"/>
  <c r="O52" i="102"/>
  <c r="H15" i="103"/>
  <c r="H17" i="103" s="1"/>
  <c r="H19" i="103" s="1"/>
  <c r="H21" i="103" s="1"/>
  <c r="J12" i="58" s="1"/>
  <c r="J10" i="103"/>
  <c r="J11" i="103" s="1"/>
  <c r="F46" i="102"/>
  <c r="J20" i="105"/>
  <c r="J21" i="105" s="1"/>
  <c r="L14" i="58" s="1"/>
  <c r="F53" i="102" l="1"/>
  <c r="F20" i="69" s="1"/>
  <c r="F21" i="69" s="1"/>
  <c r="O37" i="102"/>
  <c r="N46" i="102"/>
  <c r="I46" i="102"/>
  <c r="E37" i="102"/>
  <c r="N53" i="102" l="1"/>
  <c r="I53" i="102"/>
  <c r="O46" i="102"/>
  <c r="E53" i="102"/>
  <c r="J14" i="103"/>
  <c r="J15" i="103" s="1"/>
  <c r="J17" i="103" s="1"/>
  <c r="B19" i="58"/>
  <c r="B20" i="58" s="1"/>
  <c r="O53" i="102" l="1"/>
  <c r="J16" i="103"/>
  <c r="J19" i="103"/>
  <c r="J21" i="103" s="1"/>
  <c r="L12" i="58" s="1"/>
  <c r="B10" i="105" l="1"/>
  <c r="B11" i="105" s="1"/>
  <c r="B12" i="105" s="1"/>
  <c r="B13" i="105" s="1"/>
  <c r="B15" i="105" s="1"/>
  <c r="B16" i="105" s="1"/>
  <c r="B17" i="105" s="1"/>
  <c r="B19" i="105" s="1"/>
  <c r="B10" i="104"/>
  <c r="B11" i="104" s="1"/>
  <c r="B12" i="104" s="1"/>
  <c r="B13" i="104" s="1"/>
  <c r="B14" i="104" s="1"/>
  <c r="B16" i="104" s="1"/>
  <c r="B17" i="104" s="1"/>
  <c r="B18" i="104" s="1"/>
  <c r="B19" i="104" s="1"/>
  <c r="B10" i="103"/>
  <c r="B11" i="103" s="1"/>
  <c r="B12" i="103" s="1"/>
  <c r="B13" i="103" s="1"/>
  <c r="B14" i="103" s="1"/>
  <c r="B15" i="103" s="1"/>
  <c r="B16" i="103" s="1"/>
  <c r="B17" i="103" s="1"/>
  <c r="B18" i="103" s="1"/>
  <c r="B19" i="103" s="1"/>
  <c r="B20" i="103" s="1"/>
  <c r="B21" i="103" s="1"/>
  <c r="B20" i="105" l="1"/>
  <c r="B21" i="105" s="1"/>
  <c r="B11" i="58"/>
  <c r="B12" i="58" s="1"/>
  <c r="B13" i="58" s="1"/>
  <c r="B14" i="58" s="1"/>
  <c r="B15" i="58" s="1"/>
  <c r="B16" i="58" s="1"/>
  <c r="B8" i="91" l="1"/>
  <c r="B9" i="91" s="1"/>
  <c r="B10" i="91" s="1"/>
  <c r="B11" i="91" s="1"/>
  <c r="B12" i="91" s="1"/>
  <c r="B13" i="91" s="1"/>
  <c r="B14" i="91" s="1"/>
  <c r="B15" i="91" s="1"/>
  <c r="B16" i="91" s="1"/>
  <c r="B17" i="91" s="1"/>
  <c r="B18" i="91" s="1"/>
  <c r="B19" i="91" s="1"/>
  <c r="B20" i="91" s="1"/>
  <c r="B21" i="91" s="1"/>
  <c r="B22" i="91" s="1"/>
  <c r="B23" i="91" s="1"/>
  <c r="B24" i="91" s="1"/>
  <c r="B25" i="91" s="1"/>
  <c r="B28" i="91" s="1"/>
  <c r="B29" i="91" s="1"/>
  <c r="B7" i="57" l="1"/>
  <c r="B8" i="57" s="1"/>
  <c r="B9" i="57" s="1"/>
  <c r="B10" i="57" s="1"/>
  <c r="B11" i="57" l="1"/>
  <c r="B12" i="57" s="1"/>
  <c r="B13" i="57" s="1"/>
  <c r="B12" i="66"/>
  <c r="B13" i="66" s="1"/>
  <c r="B14" i="66" s="1"/>
  <c r="B27" i="67"/>
  <c r="B28" i="67" s="1"/>
  <c r="B29" i="67" s="1"/>
  <c r="B30" i="67" s="1"/>
  <c r="B14" i="57" l="1"/>
  <c r="B15" i="57" s="1"/>
  <c r="B16" i="57" s="1"/>
  <c r="B17" i="57" s="1"/>
  <c r="B18" i="57" s="1"/>
  <c r="B19" i="57" s="1"/>
  <c r="B20" i="57" s="1"/>
  <c r="B21" i="57" l="1"/>
  <c r="B22" i="57" s="1"/>
  <c r="B23" i="57" s="1"/>
  <c r="B24" i="57" s="1"/>
  <c r="B25" i="57" s="1"/>
  <c r="B26" i="57" s="1"/>
  <c r="F13" i="58"/>
  <c r="I13" i="58"/>
  <c r="I16" i="58" s="1"/>
  <c r="I21" i="58" l="1"/>
  <c r="F16" i="58"/>
  <c r="F21" i="58" s="1"/>
  <c r="D17" i="104" s="1"/>
  <c r="G17" i="104" l="1"/>
  <c r="G13" i="58" l="1"/>
  <c r="H13" i="58"/>
  <c r="J13" i="58"/>
  <c r="L13" i="58"/>
  <c r="G16" i="58"/>
  <c r="H16" i="58"/>
  <c r="J16" i="58"/>
  <c r="L16" i="58"/>
  <c r="G21" i="58"/>
  <c r="H21" i="58"/>
  <c r="J21" i="58"/>
  <c r="L21" i="58"/>
  <c r="E14" i="104"/>
  <c r="F14" i="104"/>
  <c r="H14" i="104"/>
  <c r="J14" i="104"/>
  <c r="E17" i="104"/>
  <c r="F17" i="104"/>
  <c r="H17" i="104"/>
  <c r="J17" i="104"/>
  <c r="E19" i="104"/>
  <c r="F19" i="104"/>
  <c r="H19" i="104"/>
  <c r="J19" i="104"/>
</calcChain>
</file>

<file path=xl/sharedStrings.xml><?xml version="1.0" encoding="utf-8"?>
<sst xmlns="http://schemas.openxmlformats.org/spreadsheetml/2006/main" count="789" uniqueCount="373">
  <si>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</si>
  <si>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</si>
  <si>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</si>
  <si>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</si>
  <si>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</si>
  <si>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</si>
  <si>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</si>
  <si>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</si>
  <si>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</si>
  <si>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</si>
  <si>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</si>
  <si>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</si>
  <si>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</si>
  <si>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</si>
  <si>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</si>
  <si>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</si>
  <si>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</si>
  <si>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</si>
  <si>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</si>
  <si>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</si>
  <si>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</si>
  <si>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</si>
  <si>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</si>
  <si>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</si>
  <si>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</si>
  <si>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</si>
  <si>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</si>
  <si>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</si>
  <si>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</si>
  <si>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</si>
  <si>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</si>
  <si>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</si>
  <si>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</si>
  <si>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</si>
  <si>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</si>
  <si>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</si>
  <si>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</si>
  <si>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</si>
  <si>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</si>
  <si>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</si>
  <si>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t>
  </si>
  <si>
    <t>Target PLF for Incentive</t>
  </si>
  <si>
    <t>MU</t>
  </si>
  <si>
    <t xml:space="preserve">Note: </t>
  </si>
  <si>
    <t>Total Working Capital requirement</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</si>
  <si>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</si>
  <si>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</si>
  <si>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</si>
  <si>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</si>
  <si>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</si>
  <si>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</si>
  <si>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</si>
  <si>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</si>
  <si>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</si>
  <si>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</si>
  <si>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</si>
  <si>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</si>
  <si>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</si>
  <si>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</si>
  <si>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</si>
  <si>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</si>
  <si>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</si>
  <si>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</si>
  <si>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</si>
  <si>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</si>
  <si>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</si>
  <si>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</si>
  <si>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</si>
  <si>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</si>
  <si>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</si>
  <si>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</si>
  <si>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</si>
  <si>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</si>
  <si>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</si>
  <si>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</si>
  <si>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</si>
  <si>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</si>
  <si>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</si>
  <si>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</si>
  <si>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</si>
  <si>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</si>
  <si>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</si>
  <si>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</si>
  <si>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</si>
  <si>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</si>
  <si>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</si>
  <si>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</si>
  <si>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</si>
  <si>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</si>
  <si>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</si>
  <si>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</si>
  <si>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</si>
  <si>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</si>
  <si>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</si>
  <si>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</si>
  <si>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</si>
  <si>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</si>
  <si>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</si>
  <si>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</si>
  <si>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</si>
  <si>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</si>
  <si>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</si>
  <si>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</si>
  <si>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</si>
  <si>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</si>
  <si>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</si>
  <si>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</si>
  <si>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</si>
  <si>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</si>
  <si>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</si>
  <si>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</si>
  <si>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</si>
  <si>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</si>
  <si>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</si>
  <si>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</si>
  <si>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</si>
  <si>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</si>
  <si>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</si>
  <si>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</si>
  <si>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</si>
  <si>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</si>
  <si>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</si>
  <si>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</si>
  <si>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</si>
  <si>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</si>
  <si>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</si>
  <si>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</si>
  <si>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</si>
  <si>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</si>
  <si>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</si>
  <si>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</si>
  <si>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</si>
  <si>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</si>
  <si>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</si>
  <si>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</si>
  <si>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</si>
  <si>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</si>
  <si>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</si>
  <si>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</si>
  <si>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</si>
  <si>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</si>
  <si>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</si>
  <si>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</si>
  <si>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Revenue from sale of electricity</t>
  </si>
  <si>
    <t>Non-Tariff Income</t>
  </si>
  <si>
    <t>Form 12</t>
  </si>
  <si>
    <t>Unit 1 / Station 1</t>
  </si>
  <si>
    <t>Unit 2 / Station 2</t>
  </si>
  <si>
    <t xml:space="preserve">Depreciation </t>
  </si>
  <si>
    <t>Addition of Loan during the year</t>
  </si>
  <si>
    <t>Form 13</t>
  </si>
  <si>
    <t>Total Revenue</t>
  </si>
  <si>
    <t>Normative Availability (%)</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</si>
  <si>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</si>
  <si>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</si>
  <si>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</si>
  <si>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</si>
  <si>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</si>
  <si>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</si>
  <si>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</si>
  <si>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</si>
  <si>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</si>
  <si>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</si>
  <si>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Justification</t>
  </si>
  <si>
    <t>Financing Details</t>
  </si>
  <si>
    <t>Internal Resources</t>
  </si>
  <si>
    <t>Financing of Additional Capitalisation</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</si>
  <si>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</si>
  <si>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</si>
  <si>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</si>
  <si>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</si>
  <si>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</si>
  <si>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</si>
  <si>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</si>
  <si>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</si>
  <si>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</si>
  <si>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</si>
  <si>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</si>
  <si>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</si>
  <si>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</si>
  <si>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</si>
  <si>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</si>
  <si>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</si>
  <si>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True-Up requirement</t>
  </si>
  <si>
    <t xml:space="preserve">Details of outages should be submitted for each Unit of each station separately </t>
  </si>
  <si>
    <t>R &amp; M Expenses</t>
  </si>
  <si>
    <t>Weighted average Rate of Interest on actual Loans (%)</t>
  </si>
  <si>
    <t>Average Balance of Net Normative Loan</t>
  </si>
  <si>
    <t>Average Loan Balance</t>
  </si>
  <si>
    <t>Net Generation (MU)</t>
  </si>
  <si>
    <t>Generation above target PLF (MU)</t>
  </si>
  <si>
    <t>Approved Fixed Charges</t>
  </si>
  <si>
    <t>Amount of Fuel Surcharge Adjustment</t>
  </si>
  <si>
    <t>Summary of Capital Expenditure and Capitalisation</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</si>
  <si>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</si>
  <si>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</si>
  <si>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</si>
  <si>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</si>
  <si>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</si>
  <si>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</si>
  <si>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</si>
  <si>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n+1</t>
  </si>
  <si>
    <t xml:space="preserve">April-March     </t>
  </si>
  <si>
    <t>Claimed</t>
  </si>
  <si>
    <t>April - March</t>
  </si>
  <si>
    <t>Interest and finance charges on loan</t>
  </si>
  <si>
    <t>Return on Equity</t>
  </si>
  <si>
    <t>Annual Fixed Charges</t>
  </si>
  <si>
    <t>Energy Charges</t>
  </si>
  <si>
    <t>Energy Charge Rate</t>
  </si>
  <si>
    <t>Scheduled Energy (ex-bus)</t>
  </si>
  <si>
    <t>Apr - Mar</t>
  </si>
  <si>
    <t>Apr-Mar</t>
  </si>
  <si>
    <t>A&amp;G Expenses</t>
  </si>
  <si>
    <t>Note:</t>
  </si>
  <si>
    <t>The projections for the Control Period to be supported by detailed computations</t>
  </si>
  <si>
    <t>Opening Capital Works in Progress</t>
  </si>
  <si>
    <t>Closing Capital Works in Progress</t>
  </si>
  <si>
    <t>FY</t>
  </si>
  <si>
    <t>Name of the work</t>
  </si>
  <si>
    <t>Scope of work</t>
  </si>
  <si>
    <t>*</t>
  </si>
  <si>
    <t>Total estimated cost to be supported by documentary evidences like work orders, investment approvals etc.</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</si>
  <si>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</si>
  <si>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</si>
  <si>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</si>
  <si>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</si>
  <si>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</si>
  <si>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</si>
  <si>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</si>
  <si>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</si>
  <si>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</si>
  <si>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</si>
  <si>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</si>
  <si>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</si>
  <si>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</si>
  <si>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 xml:space="preserve">Asset Group                                                                                                                                                </t>
  </si>
  <si>
    <t>Form 2</t>
  </si>
  <si>
    <t>Form 2.3</t>
  </si>
  <si>
    <t>Form 2.1: Employee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</si>
  <si>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</si>
  <si>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</si>
  <si>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</si>
  <si>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</si>
  <si>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</si>
  <si>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</si>
  <si>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</si>
  <si>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</si>
  <si>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</si>
  <si>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</si>
  <si>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</si>
  <si>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</si>
  <si>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</si>
  <si>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</si>
  <si>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</si>
  <si>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</si>
  <si>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</si>
  <si>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</si>
  <si>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</si>
  <si>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</si>
  <si>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</si>
  <si>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</si>
  <si>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</si>
  <si>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</si>
  <si>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</si>
  <si>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</si>
  <si>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</si>
  <si>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3.2:  Financing of Additional Capitalisation</t>
  </si>
  <si>
    <t>Additional capitalisation</t>
  </si>
  <si>
    <t>Others (Please Specify)</t>
  </si>
  <si>
    <t>Total (2+3+4+5)</t>
  </si>
  <si>
    <r>
      <t xml:space="preserve">              </t>
    </r>
    <r>
      <rPr>
        <b/>
        <sz val="11"/>
        <rFont val="Arial"/>
        <family val="2"/>
      </rPr>
      <t xml:space="preserve">               </t>
    </r>
  </si>
  <si>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</si>
  <si>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</si>
  <si>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</si>
  <si>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</si>
  <si>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</si>
  <si>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</si>
  <si>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</si>
  <si>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</si>
  <si>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</si>
  <si>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</si>
  <si>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</si>
  <si>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</si>
  <si>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</si>
  <si>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</si>
  <si>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</si>
  <si>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</si>
  <si>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</si>
  <si>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</si>
  <si>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</si>
  <si>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</si>
  <si>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</si>
  <si>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</si>
  <si>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</si>
  <si>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</si>
  <si>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Unfunded past liabilities of pension &amp; gratuity</t>
  </si>
  <si>
    <t>AFC +Energy Charges</t>
  </si>
  <si>
    <r>
      <t>Receivables</t>
    </r>
    <r>
      <rPr>
        <sz val="10"/>
        <rFont val="Arial"/>
        <family val="2"/>
      </rPr>
      <t>1</t>
    </r>
  </si>
  <si>
    <r>
      <t>Payables for Fuels</t>
    </r>
    <r>
      <rPr>
        <sz val="10"/>
        <rFont val="Arial"/>
        <family val="2"/>
      </rPr>
      <t>2</t>
    </r>
  </si>
  <si>
    <t>1 In case actual availability is less or more than normative value, the modification in the formula need to be done accordingly.</t>
  </si>
  <si>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</si>
  <si>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</si>
  <si>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</si>
  <si>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</si>
  <si>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2024-25</t>
  </si>
  <si>
    <t>FY 2025-26</t>
  </si>
  <si>
    <t>Form 2.2: Administrative &amp; General Expenses</t>
  </si>
  <si>
    <t>Form 1: Summary Sheet</t>
  </si>
  <si>
    <t>COMPUTERS</t>
  </si>
  <si>
    <t xml:space="preserve">CURRENT CONSUMPTION CHARGES                       </t>
  </si>
  <si>
    <t xml:space="preserve">INCOME FROM SALE OF ASH                           </t>
  </si>
  <si>
    <t xml:space="preserve">INCOME FROM SALE OF COAL REJECTS                  </t>
  </si>
  <si>
    <t xml:space="preserve">INCOME FROM SALE OF SCRAP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</si>
  <si>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</si>
  <si>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</si>
  <si>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</si>
  <si>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</si>
  <si>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</si>
  <si>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</si>
  <si>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</si>
  <si>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RENTAL OR LETTING OUT                       </t>
  </si>
  <si>
    <t xml:space="preserve">PENALITIES RECOVERED FROM CONTRACTORS             </t>
  </si>
  <si>
    <t xml:space="preserve">RENTAL FROM RES. QUARTERS FROM UN REG PERSONS     </t>
  </si>
  <si>
    <t xml:space="preserve">RENTAL FROM STAFF FOR RESIDENTIAL QUARTERS        </t>
  </si>
  <si>
    <t xml:space="preserve">SALE OF TENDER SPECIFICATIONS                     </t>
  </si>
  <si>
    <t xml:space="preserve">VENDOR REGISTRATION FEE                           </t>
  </si>
  <si>
    <t xml:space="preserve">WATER CHARGES                                     </t>
  </si>
  <si>
    <t>Revised Proposal</t>
  </si>
  <si>
    <t>(enclosed as Annexure)</t>
  </si>
  <si>
    <t>True-Up requirement (normative)</t>
  </si>
  <si>
    <t>True-Up requirement (Normative)</t>
  </si>
  <si>
    <t>FY 2026-27</t>
  </si>
  <si>
    <t>FY 2025-6</t>
  </si>
  <si>
    <t>Lower Jurala HES</t>
  </si>
  <si>
    <t>LJHES</t>
  </si>
  <si>
    <t>LAND &amp;LAND RIGHTS</t>
  </si>
  <si>
    <t>BUILDINGS</t>
  </si>
  <si>
    <t>LINES AND CABLE NETWORK</t>
  </si>
  <si>
    <t>PLANT AND EQUIPMENT</t>
  </si>
  <si>
    <t>HYDRAULIC WORKS</t>
  </si>
  <si>
    <t>OTHER CIVIL WORKS</t>
  </si>
  <si>
    <t>VEHICLES</t>
  </si>
  <si>
    <t>FURNITURE &amp; FIXTURES</t>
  </si>
  <si>
    <t>OFFICE EQUIPMENTS</t>
  </si>
  <si>
    <t>INTANGIBLE ASSETS</t>
  </si>
  <si>
    <t xml:space="preserve">PROFIT ON SALE OF FIXED ASSETS                    </t>
  </si>
  <si>
    <t>TSSPDCL (70.55%)</t>
  </si>
  <si>
    <t>TSNPDCL (29.45%)</t>
  </si>
  <si>
    <t>Loan 1-PFC</t>
  </si>
  <si>
    <t>Non-Tariff Income true-up</t>
  </si>
  <si>
    <t>Name of the package           (BTG, BoP, Civil Works etc.)</t>
  </si>
  <si>
    <t>Total estimated cost*          (Rs. Crore)</t>
  </si>
  <si>
    <t>Capital expenditure during the year     (Rs. Crore)</t>
  </si>
  <si>
    <t>Asset group under which the capitalisation has been accounted                          (Land, Buldings, etc.)</t>
  </si>
  <si>
    <t>2024-25</t>
  </si>
  <si>
    <t>Civil</t>
  </si>
  <si>
    <t>Cost of Land at LJHEP</t>
  </si>
  <si>
    <t>Land</t>
  </si>
  <si>
    <t>C,D,E,F Type Quarters</t>
  </si>
  <si>
    <t>BTG</t>
  </si>
  <si>
    <t>Turbine, Generator Auxiliaries of Units-1 to 6</t>
  </si>
  <si>
    <t>Weir Dam Reinforcement &amp; Conreting</t>
  </si>
  <si>
    <t>Power House Intake and Draft Tube gates &amp; Other Civil Works</t>
  </si>
  <si>
    <t>BOP</t>
  </si>
  <si>
    <t>TATA Fire Tender (AP10V0283)</t>
  </si>
  <si>
    <t>2025-26</t>
  </si>
  <si>
    <t>LJHEP-Removal of humps and rock outcrops in TRC from Ch 430.00 M to Ch 2350 .00 M and  from confluence point (Ch. 2350.00 M) to Pushkarghat (Ch. 3467.475 M) to avoid heading up of water in TRC and consequent fall in design head &amp; loss of Power and removal of flood thrown muck in TRC from Ch. 1090.00m to Ch.1150.00m</t>
  </si>
  <si>
    <t>Civil Work</t>
  </si>
  <si>
    <t>Removal of humps and rock outcrops in TRC from Ch 430.00 M to Ch 2350 .00 M and  from confluence point (Ch. 2350.00 M) to Pushkarghat (Ch. 3467.475 M) and removal of flood thrown muck in TRC from Ch. 1090.00m to Ch.1150.00m)</t>
  </si>
  <si>
    <t>As per Clause no.22.3, the Capital expenditure incurred tor projected to be incurred in respect of existing Generation Stations  or the transmission systems unlikely are beyond the original scope of work, subject to the prudent check.</t>
  </si>
  <si>
    <t>Enclosed</t>
  </si>
  <si>
    <t>2026-27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</si>
</sst>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_);[Red]\(&quot;$&quot;#,##0.00\)"/>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0.0000000"/>
    <numFmt numFmtId="169" formatCode="0.000"/>
    <numFmt numFmtId="170" formatCode="0.00000000000"/>
    <numFmt numFmtId="171" formatCode="dd\.mm\.yyyy"/>
    <numFmt numFmtId="172" formatCode="_ * #,##0.000_ ;_ * \-#,##0.000_ ;_ * &quot;-&quot;???_ ;_ @_ "/>
    <numFmt numFmtId="173" formatCode="_(* #,##0.000_);_(* \(#,##0.000\);_(* &quot;-&quot;??_);_(@_)"/>
    <numFmt numFmtId="174" formatCode="_ &quot;రూ&quot;\ * #,##0.00_ ;_ &quot;రూ&quot;\ * \-#,##0.00_ ;_ &quot;రూ&quot;\ * &quot;-&quot;??_ ;_ @_ "/>
    <numFmt numFmtId="175" formatCode="0.000%"/>
    <numFmt numFmtId="176" formatCode="0.000000"/>
  </numFmts>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vertAlign val="superscript"/>
      <sz val="11"/>
      <name val="Arial"/>
      <family val="2"/>
    </font>
    <font>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b/>
      <sz val="13"/>
      <name val="Arial"/>
      <family val="2"/>
    </font>
    <font>
      <sz val="13"/>
      <name val="Arial"/>
      <family val="2"/>
    </font>
    <font>
      <b/>
      <sz val="10"/>
      <name val="Arial"/>
      <family val="2"/>
    </font>
    <font>
      <sz val="13"/>
      <name val="Calibri"/>
      <family val="2"/>
      <scheme val="minor"/>
    </font>
    <font>
      <b/>
      <sz val="13"/>
      <name val="Calibri"/>
      <family val="2"/>
      <scheme val="minor"/>
    </font>
    <font>
      <b/>
      <sz val="11"/>
      <color theme="1"/>
      <name val="Calibri"/>
      <family val="2"/>
      <scheme val="minor"/>
    </font>
    <font>
      <sz val="10"/>
      <color rgb="FF000000"/>
      <name val="Times New Roman"/>
      <family val="1"/>
    </font>
    <font>
      <b/>
      <sz val="11"/>
      <color theme="1"/>
      <name val="Arial"/>
      <family val="2"/>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1">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483">
    <xf numFmtId="0" fontId="0" fillId="0" borderId="0"/>
    <xf numFmtId="0" fontId="12" fillId="0" borderId="0" applyNumberFormat="0" applyFill="0" applyBorder="0" applyAlignment="0" applyProtection="0"/>
    <xf numFmtId="0" fontId="13" fillId="0" borderId="1"/>
    <xf numFmtId="0" fontId="13" fillId="0" borderId="1"/>
    <xf numFmtId="38" fontId="14" fillId="2" borderId="0" applyNumberFormat="0" applyBorder="0" applyAlignment="0" applyProtection="0"/>
    <xf numFmtId="0" fontId="15" fillId="0" borderId="2" applyNumberFormat="0" applyAlignment="0" applyProtection="0">
      <alignment horizontal="left" vertical="center"/>
    </xf>
    <xf numFmtId="0" fontId="15" fillId="0" borderId="3">
      <alignment horizontal="left" vertical="center"/>
    </xf>
    <xf numFmtId="10" fontId="14" fillId="3" borderId="4" applyNumberFormat="0" applyBorder="0" applyAlignment="0" applyProtection="0"/>
    <xf numFmtId="37" fontId="16" fillId="0" borderId="0"/>
    <xf numFmtId="166" fontId="17" fillId="0" borderId="0"/>
    <xf numFmtId="0" fontId="11" fillId="0" borderId="0"/>
    <xf numFmtId="0" fontId="11" fillId="0" borderId="0"/>
    <xf numFmtId="0" fontId="9" fillId="0" borderId="0"/>
    <xf numFmtId="0" fontId="9" fillId="0" borderId="0"/>
    <xf numFmtId="0" fontId="11" fillId="0" borderId="0">
      <alignment vertical="center"/>
    </xf>
    <xf numFmtId="167" fontId="11" fillId="0" borderId="0" applyFont="0" applyFill="0" applyBorder="0" applyAlignment="0" applyProtection="0"/>
    <xf numFmtId="10" fontId="11" fillId="0" borderId="0" applyFont="0" applyFill="0" applyBorder="0" applyAlignment="0" applyProtection="0"/>
    <xf numFmtId="0" fontId="11" fillId="0" borderId="0"/>
    <xf numFmtId="0" fontId="19" fillId="0" borderId="0"/>
    <xf numFmtId="43" fontId="19" fillId="0" borderId="0" applyFont="0" applyFill="0" applyBorder="0" applyAlignment="0" applyProtection="0"/>
    <xf numFmtId="9" fontId="19" fillId="0" borderId="0" applyFont="0" applyFill="0" applyBorder="0" applyAlignment="0" applyProtection="0"/>
    <xf numFmtId="165" fontId="20" fillId="0" borderId="0" applyFont="0" applyFill="0" applyBorder="0" applyAlignment="0" applyProtection="0"/>
    <xf numFmtId="0" fontId="21" fillId="0" borderId="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164" fontId="20" fillId="0" borderId="0" applyFont="0" applyFill="0" applyBorder="0" applyAlignment="0" applyProtection="0"/>
    <xf numFmtId="0" fontId="11" fillId="0" borderId="0"/>
    <xf numFmtId="0" fontId="11" fillId="0" borderId="0"/>
    <xf numFmtId="0" fontId="11" fillId="0" borderId="0"/>
    <xf numFmtId="0" fontId="11" fillId="0" borderId="0"/>
    <xf numFmtId="0" fontId="19" fillId="0" borderId="0"/>
    <xf numFmtId="0" fontId="20" fillId="0" borderId="0"/>
    <xf numFmtId="0" fontId="20" fillId="0" borderId="0"/>
    <xf numFmtId="0" fontId="19"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43" fontId="22"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9" fillId="0" borderId="0"/>
    <xf numFmtId="0" fontId="11" fillId="0" borderId="0" applyBorder="0" applyProtection="0"/>
    <xf numFmtId="167" fontId="20" fillId="0" borderId="0" applyFont="0" applyFill="0" applyBorder="0" applyAlignment="0" applyProtection="0"/>
    <xf numFmtId="0" fontId="11" fillId="0" borderId="0"/>
    <xf numFmtId="0" fontId="11" fillId="0" borderId="0"/>
    <xf numFmtId="0" fontId="11" fillId="0" borderId="0"/>
    <xf numFmtId="9" fontId="11" fillId="0" borderId="0" applyFont="0" applyFill="0" applyBorder="0" applyAlignment="0" applyProtection="0"/>
    <xf numFmtId="0" fontId="8" fillId="0" borderId="0"/>
    <xf numFmtId="43" fontId="8" fillId="0" borderId="0" applyFont="0" applyFill="0" applyBorder="0" applyAlignment="0" applyProtection="0"/>
    <xf numFmtId="165" fontId="11"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7" fillId="0" borderId="0"/>
    <xf numFmtId="0" fontId="7" fillId="0" borderId="0"/>
    <xf numFmtId="0" fontId="6" fillId="0" borderId="0"/>
    <xf numFmtId="0" fontId="5" fillId="0" borderId="0"/>
    <xf numFmtId="164" fontId="28"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3" fontId="11" fillId="0" borderId="0" applyFont="0" applyFill="0" applyBorder="0" applyAlignment="0" applyProtection="0"/>
    <xf numFmtId="172"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0" fontId="29"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0" fontId="4" fillId="0" borderId="0"/>
    <xf numFmtId="0" fontId="3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174" fontId="11"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9" fontId="4" fillId="0" borderId="0" applyFont="0" applyFill="0" applyBorder="0" applyAlignment="0" applyProtection="0"/>
    <xf numFmtId="164" fontId="4" fillId="0" borderId="0" applyFont="0" applyFill="0" applyBorder="0" applyAlignment="0" applyProtection="0"/>
    <xf numFmtId="171" fontId="1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169" fontId="4" fillId="0" borderId="0" applyFont="0" applyFill="0" applyBorder="0" applyAlignment="0" applyProtection="0"/>
    <xf numFmtId="164" fontId="4" fillId="0" borderId="0" applyFont="0" applyFill="0" applyBorder="0" applyAlignment="0" applyProtection="0"/>
    <xf numFmtId="171" fontId="11"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30" fillId="0" borderId="0"/>
    <xf numFmtId="0" fontId="30" fillId="0" borderId="0"/>
    <xf numFmtId="0" fontId="4" fillId="0" borderId="0"/>
    <xf numFmtId="0" fontId="30"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8"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30" fillId="0" borderId="0"/>
    <xf numFmtId="0" fontId="4" fillId="0" borderId="0" applyFont="0" applyFill="0" applyBorder="0" applyAlignment="0" applyProtection="0"/>
    <xf numFmtId="0" fontId="4" fillId="0" borderId="0"/>
    <xf numFmtId="0" fontId="30" fillId="0" borderId="0"/>
    <xf numFmtId="0" fontId="3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174" fontId="11" fillId="0" borderId="0" applyFont="0" applyFill="0" applyBorder="0" applyAlignment="0" applyProtection="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0" fontId="4" fillId="0" borderId="0"/>
    <xf numFmtId="0" fontId="11"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0" fontId="11" fillId="0" borderId="0"/>
    <xf numFmtId="0" fontId="4" fillId="0" borderId="0"/>
    <xf numFmtId="0" fontId="4" fillId="0" borderId="0"/>
    <xf numFmtId="0" fontId="4" fillId="0" borderId="0"/>
    <xf numFmtId="0" fontId="4"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37" fillId="0" borderId="0"/>
    <xf numFmtId="0" fontId="2" fillId="0" borderId="0"/>
    <xf numFmtId="0" fontId="2" fillId="0" borderId="0"/>
    <xf numFmtId="0" fontId="1" fillId="0" borderId="0"/>
    <xf numFmtId="0" fontId="11" fillId="0" borderId="0"/>
    <xf numFmtId="0" fontId="11" fillId="0" borderId="0"/>
    <xf numFmtId="0" fontId="11" fillId="0" borderId="0"/>
    <xf numFmtId="0" fontId="1" fillId="0" borderId="0"/>
    <xf numFmtId="164" fontId="1" fillId="0" borderId="0" applyFont="0" applyFill="0" applyBorder="0" applyAlignment="0" applyProtection="0"/>
    <xf numFmtId="0" fontId="1" fillId="0" borderId="0"/>
    <xf numFmtId="0" fontId="11" fillId="0" borderId="0"/>
    <xf numFmtId="0" fontId="1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0" fontId="37" fillId="0" borderId="0"/>
    <xf numFmtId="164" fontId="1" fillId="0" borderId="0" applyFont="0" applyFill="0" applyBorder="0" applyAlignment="0" applyProtection="0"/>
    <xf numFmtId="0" fontId="1" fillId="0" borderId="0"/>
    <xf numFmtId="164" fontId="1" fillId="0" borderId="0" applyFont="0" applyFill="0" applyBorder="0" applyAlignment="0" applyProtection="0"/>
  </cellStyleXfs>
  <cellXfs count="264">
    <xf numFmtId="0" fontId="0" fillId="0" borderId="0" xfId="0"/>
    <xf numFmtId="0" fontId="10" fillId="0" borderId="0" xfId="10" applyFont="1" applyAlignment="1">
      <alignment horizontal="center" vertical="center"/>
    </xf>
    <xf numFmtId="0" fontId="18" fillId="0" borderId="4" xfId="14" applyFont="1" applyBorder="1" applyAlignment="1">
      <alignment horizontal="center" vertical="center"/>
    </xf>
    <xf numFmtId="0" fontId="18" fillId="0" borderId="4" xfId="14" applyFont="1" applyBorder="1">
      <alignment vertical="center"/>
    </xf>
    <xf numFmtId="0" fontId="18" fillId="0" borderId="0" xfId="10" applyFont="1"/>
    <xf numFmtId="0" fontId="18" fillId="0" borderId="0" xfId="10" applyFont="1" applyAlignment="1">
      <alignment vertical="center"/>
    </xf>
    <xf numFmtId="0" fontId="10" fillId="0" borderId="0" xfId="14" applyFont="1">
      <alignment vertical="center"/>
    </xf>
    <xf numFmtId="0" fontId="10" fillId="0" borderId="4" xfId="14" applyFont="1" applyBorder="1" applyAlignment="1">
      <alignment horizontal="center" vertical="center"/>
    </xf>
    <xf numFmtId="0" fontId="10" fillId="0" borderId="4" xfId="14" applyFont="1" applyBorder="1" applyAlignment="1">
      <alignment horizontal="left" vertical="center"/>
    </xf>
    <xf numFmtId="0" fontId="10" fillId="0" borderId="4" xfId="14" applyFont="1" applyBorder="1" applyAlignment="1">
      <alignment vertical="top" wrapText="1"/>
    </xf>
    <xf numFmtId="0" fontId="10" fillId="0" borderId="0" xfId="10" applyFont="1"/>
    <xf numFmtId="0" fontId="15" fillId="0" borderId="7" xfId="14" applyFont="1" applyBorder="1" applyAlignment="1">
      <alignment horizontal="center" vertical="center"/>
    </xf>
    <xf numFmtId="0" fontId="15" fillId="0" borderId="4" xfId="14" applyFont="1" applyBorder="1" applyAlignment="1">
      <alignment horizontal="center" vertical="center"/>
    </xf>
    <xf numFmtId="0" fontId="18" fillId="0" borderId="0" xfId="14" applyFont="1">
      <alignment vertical="center"/>
    </xf>
    <xf numFmtId="0" fontId="23" fillId="0" borderId="4" xfId="14" applyFont="1" applyBorder="1" applyAlignment="1">
      <alignment horizontal="center" vertical="center"/>
    </xf>
    <xf numFmtId="0" fontId="23" fillId="0" borderId="4" xfId="14" applyFont="1" applyBorder="1" applyAlignment="1">
      <alignment horizontal="center" vertical="center" wrapText="1"/>
    </xf>
    <xf numFmtId="0" fontId="18" fillId="0" borderId="4" xfId="14" applyFont="1" applyBorder="1" applyAlignment="1">
      <alignment horizontal="left" vertical="center"/>
    </xf>
    <xf numFmtId="0" fontId="18" fillId="5" borderId="4" xfId="14" applyFont="1" applyFill="1" applyBorder="1" applyAlignment="1">
      <alignment horizontal="left" vertical="center"/>
    </xf>
    <xf numFmtId="0" fontId="18" fillId="0" borderId="4" xfId="14" applyFont="1" applyBorder="1" applyAlignment="1">
      <alignment vertical="top" wrapText="1"/>
    </xf>
    <xf numFmtId="0" fontId="23" fillId="0" borderId="4" xfId="14" applyFont="1" applyBorder="1">
      <alignment vertical="center"/>
    </xf>
    <xf numFmtId="0" fontId="18" fillId="0" borderId="4" xfId="10" applyFont="1" applyBorder="1" applyAlignment="1">
      <alignment horizontal="center" vertical="center"/>
    </xf>
    <xf numFmtId="0" fontId="18" fillId="0" borderId="4" xfId="10" applyFont="1" applyBorder="1" applyAlignment="1">
      <alignment horizontal="center" vertical="center" wrapText="1"/>
    </xf>
    <xf numFmtId="0" fontId="23" fillId="0" borderId="6" xfId="10" applyFont="1" applyBorder="1" applyAlignment="1">
      <alignment horizontal="center" vertical="center" wrapText="1"/>
    </xf>
    <xf numFmtId="0" fontId="23" fillId="0" borderId="4" xfId="10" applyFont="1" applyBorder="1" applyAlignment="1">
      <alignment horizontal="center" vertical="center"/>
    </xf>
    <xf numFmtId="0" fontId="23" fillId="0" borderId="0" xfId="10" applyFont="1" applyAlignment="1">
      <alignment horizontal="left" vertical="center"/>
    </xf>
    <xf numFmtId="0" fontId="23" fillId="0" borderId="0" xfId="10" applyFont="1" applyAlignment="1">
      <alignment horizontal="right" vertical="center"/>
    </xf>
    <xf numFmtId="0" fontId="23" fillId="0" borderId="0" xfId="14" applyFont="1" applyAlignment="1">
      <alignment horizontal="right" vertical="center"/>
    </xf>
    <xf numFmtId="0" fontId="18" fillId="0" borderId="4" xfId="10" applyFont="1" applyBorder="1" applyAlignment="1">
      <alignment vertical="center"/>
    </xf>
    <xf numFmtId="0" fontId="18" fillId="0" borderId="4" xfId="0" applyFont="1" applyBorder="1" applyAlignment="1">
      <alignment vertical="center"/>
    </xf>
    <xf numFmtId="0" fontId="18" fillId="0" borderId="4" xfId="10" applyFont="1" applyBorder="1" applyAlignment="1">
      <alignment horizontal="left" vertical="center"/>
    </xf>
    <xf numFmtId="0" fontId="23" fillId="0" borderId="4" xfId="10" applyFont="1" applyBorder="1" applyAlignment="1">
      <alignment horizontal="left" vertical="center" wrapText="1"/>
    </xf>
    <xf numFmtId="0" fontId="23" fillId="0" borderId="4" xfId="10" applyFont="1" applyBorder="1" applyAlignment="1">
      <alignment horizontal="center" vertical="center" wrapText="1"/>
    </xf>
    <xf numFmtId="0" fontId="23" fillId="0" borderId="0" xfId="10" applyFont="1" applyAlignment="1">
      <alignment vertical="center"/>
    </xf>
    <xf numFmtId="0" fontId="23" fillId="0" borderId="0" xfId="14" applyFont="1" applyAlignment="1">
      <alignment horizontal="center" vertical="center"/>
    </xf>
    <xf numFmtId="0" fontId="18" fillId="0" borderId="0" xfId="10" applyFont="1" applyAlignment="1">
      <alignment horizontal="center" vertical="center"/>
    </xf>
    <xf numFmtId="0" fontId="23" fillId="0" borderId="0" xfId="10" applyFont="1" applyAlignment="1">
      <alignment horizontal="center" vertical="center"/>
    </xf>
    <xf numFmtId="0" fontId="23" fillId="0" borderId="0" xfId="14" applyFont="1">
      <alignment vertical="center"/>
    </xf>
    <xf numFmtId="0" fontId="18" fillId="0" borderId="4" xfId="10" applyFont="1" applyBorder="1" applyAlignment="1">
      <alignment horizontal="left" vertical="center" wrapText="1"/>
    </xf>
    <xf numFmtId="0" fontId="23" fillId="0" borderId="4" xfId="10" applyFont="1" applyBorder="1" applyAlignment="1">
      <alignment vertical="center"/>
    </xf>
    <xf numFmtId="0" fontId="18" fillId="0" borderId="4" xfId="10" applyFont="1" applyBorder="1" applyAlignment="1">
      <alignment horizontal="right" vertical="center"/>
    </xf>
    <xf numFmtId="0" fontId="23" fillId="0" borderId="0" xfId="10" applyFont="1" applyAlignment="1">
      <alignment horizontal="centerContinuous"/>
    </xf>
    <xf numFmtId="0" fontId="18" fillId="0" borderId="0" xfId="10" applyFont="1" applyAlignment="1">
      <alignment horizontal="centerContinuous"/>
    </xf>
    <xf numFmtId="0" fontId="18" fillId="0" borderId="4" xfId="10" applyFont="1" applyBorder="1"/>
    <xf numFmtId="0" fontId="23" fillId="0" borderId="4" xfId="10" applyFont="1" applyBorder="1"/>
    <xf numFmtId="0" fontId="23" fillId="0" borderId="0" xfId="10" applyFont="1" applyAlignment="1">
      <alignment horizontal="justify" vertical="top" wrapText="1"/>
    </xf>
    <xf numFmtId="0" fontId="18" fillId="0" borderId="0" xfId="10" applyFont="1" applyAlignment="1">
      <alignment horizontal="left"/>
    </xf>
    <xf numFmtId="0" fontId="18" fillId="0" borderId="4" xfId="10" applyFont="1" applyBorder="1" applyAlignment="1">
      <alignment wrapText="1"/>
    </xf>
    <xf numFmtId="0" fontId="18" fillId="0" borderId="0" xfId="10" applyFont="1" applyAlignment="1">
      <alignment horizontal="left" vertical="center"/>
    </xf>
    <xf numFmtId="0" fontId="18" fillId="0" borderId="0" xfId="10" applyFont="1" applyAlignment="1">
      <alignment horizontal="right" vertical="center"/>
    </xf>
    <xf numFmtId="0" fontId="24" fillId="0" borderId="0" xfId="10" applyFont="1" applyAlignment="1">
      <alignment horizontal="left" vertical="center"/>
    </xf>
    <xf numFmtId="0" fontId="24" fillId="0" borderId="0" xfId="10" applyFont="1" applyAlignment="1">
      <alignment vertical="center"/>
    </xf>
    <xf numFmtId="0" fontId="24" fillId="0" borderId="0" xfId="10" applyFont="1" applyAlignment="1">
      <alignment horizontal="center" vertical="center"/>
    </xf>
    <xf numFmtId="0" fontId="18" fillId="0" borderId="4" xfId="10" quotePrefix="1" applyFont="1" applyBorder="1" applyAlignment="1">
      <alignment horizontal="left" vertical="top" wrapText="1"/>
    </xf>
    <xf numFmtId="0" fontId="18" fillId="0" borderId="4" xfId="10" applyFont="1" applyBorder="1" applyAlignment="1">
      <alignment horizontal="left"/>
    </xf>
    <xf numFmtId="0" fontId="23" fillId="0" borderId="4" xfId="10" applyFont="1" applyBorder="1" applyAlignment="1">
      <alignment horizontal="left"/>
    </xf>
    <xf numFmtId="0" fontId="18" fillId="0" borderId="0" xfId="14" applyFont="1" applyAlignment="1">
      <alignment horizontal="center" vertical="center"/>
    </xf>
    <xf numFmtId="0" fontId="18" fillId="0" borderId="4" xfId="10" applyFont="1" applyBorder="1" applyAlignment="1">
      <alignment horizontal="left" vertical="top" wrapText="1"/>
    </xf>
    <xf numFmtId="0" fontId="23" fillId="0" borderId="0" xfId="10" applyFont="1" applyAlignment="1">
      <alignment horizontal="left"/>
    </xf>
    <xf numFmtId="0" fontId="23" fillId="0" borderId="0" xfId="10" applyFont="1" applyAlignment="1">
      <alignment horizontal="right"/>
    </xf>
    <xf numFmtId="0" fontId="23" fillId="0" borderId="0" xfId="10" applyFont="1" applyAlignment="1">
      <alignment horizontal="left" vertical="center" wrapText="1"/>
    </xf>
    <xf numFmtId="0" fontId="23" fillId="0" borderId="0" xfId="10" applyFont="1" applyAlignment="1">
      <alignment horizontal="center" vertical="center" wrapText="1"/>
    </xf>
    <xf numFmtId="0" fontId="18" fillId="0" borderId="6" xfId="10" applyFont="1" applyBorder="1" applyAlignment="1">
      <alignment horizontal="center" vertical="center"/>
    </xf>
    <xf numFmtId="0" fontId="24" fillId="0" borderId="0" xfId="10" applyFont="1" applyAlignment="1">
      <alignment horizontal="right" vertical="center"/>
    </xf>
    <xf numFmtId="0" fontId="18" fillId="0" borderId="0" xfId="10" applyFont="1" applyAlignment="1">
      <alignment horizontal="center"/>
    </xf>
    <xf numFmtId="0" fontId="15" fillId="0" borderId="0" xfId="14" applyFont="1" applyAlignment="1">
      <alignment horizontal="center" vertical="center"/>
    </xf>
    <xf numFmtId="0" fontId="23" fillId="0" borderId="5" xfId="14" applyFont="1" applyBorder="1" applyAlignment="1">
      <alignment horizontal="center" vertical="center" wrapText="1"/>
    </xf>
    <xf numFmtId="0" fontId="18" fillId="0" borderId="4" xfId="10" applyFont="1" applyBorder="1" applyAlignment="1">
      <alignment vertical="center" wrapText="1"/>
    </xf>
    <xf numFmtId="0" fontId="18" fillId="0" borderId="8" xfId="14" applyFont="1" applyBorder="1">
      <alignment vertical="center"/>
    </xf>
    <xf numFmtId="0" fontId="23" fillId="0" borderId="4" xfId="10" applyFont="1" applyBorder="1" applyAlignment="1">
      <alignment vertical="center" wrapText="1"/>
    </xf>
    <xf numFmtId="0" fontId="23" fillId="4" borderId="4" xfId="14" applyFont="1" applyFill="1" applyBorder="1" applyAlignment="1">
      <alignment horizontal="center" vertical="center" wrapText="1"/>
    </xf>
    <xf numFmtId="0" fontId="23" fillId="0" borderId="0" xfId="10" applyFont="1" applyAlignment="1">
      <alignment horizontal="centerContinuous" vertical="center"/>
    </xf>
    <xf numFmtId="0" fontId="18" fillId="0" borderId="0" xfId="10" applyFont="1" applyAlignment="1">
      <alignment horizontal="centerContinuous" vertical="center"/>
    </xf>
    <xf numFmtId="0" fontId="23" fillId="4" borderId="4" xfId="10" quotePrefix="1" applyFont="1" applyFill="1" applyBorder="1" applyAlignment="1">
      <alignment horizontal="center" vertical="center" wrapText="1"/>
    </xf>
    <xf numFmtId="0" fontId="23" fillId="4" borderId="4" xfId="10" applyFont="1" applyFill="1" applyBorder="1" applyAlignment="1">
      <alignment horizontal="left" vertical="center" wrapText="1"/>
    </xf>
    <xf numFmtId="0" fontId="23" fillId="4" borderId="4" xfId="10" applyFont="1" applyFill="1" applyBorder="1" applyAlignment="1">
      <alignment horizontal="center" vertical="center"/>
    </xf>
    <xf numFmtId="0" fontId="18" fillId="4" borderId="4" xfId="14" applyFont="1" applyFill="1" applyBorder="1">
      <alignment vertical="center"/>
    </xf>
    <xf numFmtId="0" fontId="18" fillId="4" borderId="4" xfId="10" applyFont="1" applyFill="1" applyBorder="1" applyAlignment="1">
      <alignment horizontal="center" vertical="center"/>
    </xf>
    <xf numFmtId="0" fontId="18" fillId="4" borderId="4" xfId="10" applyFont="1" applyFill="1" applyBorder="1" applyAlignment="1">
      <alignment vertical="center" wrapText="1"/>
    </xf>
    <xf numFmtId="0" fontId="23" fillId="4" borderId="4" xfId="10" applyFont="1" applyFill="1" applyBorder="1" applyAlignment="1">
      <alignment vertical="center" wrapText="1"/>
    </xf>
    <xf numFmtId="0" fontId="18" fillId="4" borderId="4" xfId="10" applyFont="1" applyFill="1" applyBorder="1" applyAlignment="1">
      <alignment vertical="center"/>
    </xf>
    <xf numFmtId="0" fontId="23" fillId="4" borderId="0" xfId="10" applyFont="1" applyFill="1" applyAlignment="1">
      <alignment vertical="center"/>
    </xf>
    <xf numFmtId="0" fontId="18" fillId="4" borderId="0" xfId="10" applyFont="1" applyFill="1" applyAlignment="1">
      <alignment vertical="center"/>
    </xf>
    <xf numFmtId="166" fontId="18" fillId="0" borderId="0" xfId="10" applyNumberFormat="1" applyFont="1" applyAlignment="1">
      <alignment vertical="center"/>
    </xf>
    <xf numFmtId="0" fontId="25" fillId="0" borderId="0" xfId="10" applyFont="1" applyAlignment="1">
      <alignment horizontal="left" vertical="center"/>
    </xf>
    <xf numFmtId="0" fontId="18" fillId="0" borderId="0" xfId="0" applyFont="1" applyAlignment="1">
      <alignment vertical="center"/>
    </xf>
    <xf numFmtId="0" fontId="23" fillId="0" borderId="4" xfId="0" applyFont="1" applyBorder="1" applyAlignment="1">
      <alignment horizontal="center" vertical="center"/>
    </xf>
    <xf numFmtId="0" fontId="18" fillId="0" borderId="4" xfId="0" applyFont="1" applyBorder="1" applyAlignment="1">
      <alignment horizontal="center" vertical="center"/>
    </xf>
    <xf numFmtId="0" fontId="23" fillId="0" borderId="4" xfId="0" applyFont="1" applyBorder="1" applyAlignment="1">
      <alignment vertical="center"/>
    </xf>
    <xf numFmtId="0" fontId="18" fillId="0" borderId="4" xfId="0" applyFont="1" applyBorder="1" applyAlignment="1">
      <alignment vertical="center" wrapText="1"/>
    </xf>
    <xf numFmtId="0" fontId="27" fillId="0" borderId="0" xfId="10" applyFont="1" applyAlignment="1">
      <alignment vertical="center"/>
    </xf>
    <xf numFmtId="16" fontId="23" fillId="0" borderId="4" xfId="10" applyNumberFormat="1" applyFont="1" applyBorder="1" applyAlignment="1">
      <alignment horizontal="center" vertical="center" wrapText="1"/>
    </xf>
    <xf numFmtId="0" fontId="23"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Border="1" applyAlignment="1">
      <alignment vertical="center" wrapText="1"/>
    </xf>
    <xf numFmtId="2" fontId="18" fillId="0" borderId="4" xfId="0" applyNumberFormat="1" applyFont="1" applyBorder="1" applyAlignment="1">
      <alignment horizontal="center" vertical="center"/>
    </xf>
    <xf numFmtId="2" fontId="18" fillId="0" borderId="4" xfId="0" applyNumberFormat="1" applyFont="1" applyBorder="1" applyAlignment="1">
      <alignment vertical="center"/>
    </xf>
    <xf numFmtId="0" fontId="18" fillId="0" borderId="4" xfId="0" applyFont="1" applyBorder="1" applyAlignment="1">
      <alignment horizontal="center" vertical="center" wrapText="1"/>
    </xf>
    <xf numFmtId="2" fontId="18" fillId="0" borderId="4" xfId="0" applyNumberFormat="1" applyFont="1" applyBorder="1" applyAlignment="1">
      <alignment horizontal="right" vertical="center"/>
    </xf>
    <xf numFmtId="0" fontId="23" fillId="0" borderId="8" xfId="0" applyFont="1" applyBorder="1" applyAlignment="1">
      <alignment vertical="center" wrapText="1"/>
    </xf>
    <xf numFmtId="2" fontId="23" fillId="0" borderId="4" xfId="0" applyNumberFormat="1" applyFont="1" applyBorder="1" applyAlignment="1">
      <alignment vertical="center"/>
    </xf>
    <xf numFmtId="2" fontId="18" fillId="0" borderId="4" xfId="10" applyNumberFormat="1" applyFont="1" applyBorder="1" applyAlignment="1">
      <alignment horizontal="center" vertical="center"/>
    </xf>
    <xf numFmtId="2" fontId="23" fillId="6" borderId="4" xfId="0" applyNumberFormat="1" applyFont="1" applyFill="1" applyBorder="1" applyAlignment="1">
      <alignment vertical="center"/>
    </xf>
    <xf numFmtId="2" fontId="23" fillId="0" borderId="4" xfId="10" applyNumberFormat="1" applyFont="1" applyBorder="1" applyAlignment="1">
      <alignment horizontal="center" vertical="center" wrapText="1"/>
    </xf>
    <xf numFmtId="2" fontId="18" fillId="0" borderId="4" xfId="10" applyNumberFormat="1" applyFont="1" applyBorder="1" applyAlignment="1">
      <alignment horizontal="center" vertical="center" wrapText="1"/>
    </xf>
    <xf numFmtId="2" fontId="23" fillId="6" borderId="4" xfId="14" applyNumberFormat="1" applyFont="1" applyFill="1" applyBorder="1">
      <alignment vertical="center"/>
    </xf>
    <xf numFmtId="2" fontId="23" fillId="6" borderId="4" xfId="10" applyNumberFormat="1" applyFont="1" applyFill="1" applyBorder="1" applyAlignment="1">
      <alignment vertical="center"/>
    </xf>
    <xf numFmtId="0" fontId="23" fillId="0" borderId="8" xfId="14" applyFont="1" applyBorder="1">
      <alignment vertical="center"/>
    </xf>
    <xf numFmtId="2" fontId="23" fillId="6" borderId="8" xfId="14" applyNumberFormat="1" applyFont="1" applyFill="1" applyBorder="1">
      <alignment vertical="center"/>
    </xf>
    <xf numFmtId="10" fontId="18" fillId="0" borderId="8" xfId="14" applyNumberFormat="1" applyFont="1" applyBorder="1">
      <alignment vertical="center"/>
    </xf>
    <xf numFmtId="2" fontId="18" fillId="0" borderId="8" xfId="14" applyNumberFormat="1" applyFont="1" applyBorder="1">
      <alignment vertical="center"/>
    </xf>
    <xf numFmtId="2" fontId="18" fillId="0" borderId="4" xfId="10" applyNumberFormat="1" applyFont="1" applyBorder="1" applyAlignment="1">
      <alignment vertical="center"/>
    </xf>
    <xf numFmtId="2" fontId="18" fillId="0" borderId="4" xfId="14" applyNumberFormat="1" applyFont="1" applyBorder="1" applyAlignment="1">
      <alignment horizontal="center" vertical="center"/>
    </xf>
    <xf numFmtId="2" fontId="23" fillId="6" borderId="4" xfId="14" applyNumberFormat="1" applyFont="1" applyFill="1" applyBorder="1" applyAlignment="1">
      <alignment horizontal="center" vertical="center"/>
    </xf>
    <xf numFmtId="10" fontId="23" fillId="6" borderId="4" xfId="14" applyNumberFormat="1" applyFont="1" applyFill="1" applyBorder="1">
      <alignment vertical="center"/>
    </xf>
    <xf numFmtId="2" fontId="23" fillId="6" borderId="4" xfId="10" applyNumberFormat="1" applyFont="1" applyFill="1" applyBorder="1"/>
    <xf numFmtId="2" fontId="18" fillId="0" borderId="4" xfId="10" applyNumberFormat="1" applyFont="1" applyBorder="1" applyAlignment="1">
      <alignment horizontal="right" vertical="center"/>
    </xf>
    <xf numFmtId="2" fontId="23" fillId="0" borderId="4" xfId="14" applyNumberFormat="1" applyFont="1" applyBorder="1" applyAlignment="1">
      <alignment horizontal="center" vertical="center"/>
    </xf>
    <xf numFmtId="0" fontId="18" fillId="0" borderId="4" xfId="14" applyFont="1" applyBorder="1" applyAlignment="1">
      <alignment horizontal="right" vertical="center"/>
    </xf>
    <xf numFmtId="2" fontId="18" fillId="0" borderId="4" xfId="14" applyNumberFormat="1" applyFont="1" applyBorder="1" applyAlignment="1">
      <alignment horizontal="right" vertical="center"/>
    </xf>
    <xf numFmtId="0" fontId="18" fillId="0" borderId="4" xfId="10" applyFont="1" applyBorder="1" applyAlignment="1">
      <alignment horizontal="right" vertical="center" wrapText="1"/>
    </xf>
    <xf numFmtId="2" fontId="18" fillId="0" borderId="4" xfId="10" applyNumberFormat="1" applyFont="1" applyBorder="1" applyAlignment="1">
      <alignment horizontal="right" vertical="center" wrapText="1"/>
    </xf>
    <xf numFmtId="0" fontId="18" fillId="0" borderId="8" xfId="14" applyFont="1" applyBorder="1" applyAlignment="1">
      <alignment horizontal="right" vertical="center"/>
    </xf>
    <xf numFmtId="2" fontId="23" fillId="6" borderId="8" xfId="14" applyNumberFormat="1" applyFont="1" applyFill="1" applyBorder="1" applyAlignment="1">
      <alignment horizontal="right" vertical="center"/>
    </xf>
    <xf numFmtId="2" fontId="18" fillId="6" borderId="8" xfId="14" applyNumberFormat="1" applyFont="1" applyFill="1" applyBorder="1">
      <alignment vertical="center"/>
    </xf>
    <xf numFmtId="0" fontId="23" fillId="0" borderId="3" xfId="14" applyFont="1" applyBorder="1" applyAlignment="1">
      <alignment horizontal="center" vertical="center" wrapText="1"/>
    </xf>
    <xf numFmtId="0" fontId="23" fillId="0" borderId="8" xfId="0" applyFont="1" applyBorder="1" applyAlignment="1">
      <alignment horizontal="center" vertical="center"/>
    </xf>
    <xf numFmtId="2" fontId="23" fillId="0" borderId="4" xfId="10" applyNumberFormat="1" applyFont="1" applyBorder="1" applyAlignment="1">
      <alignment vertical="top" wrapText="1"/>
    </xf>
    <xf numFmtId="2" fontId="23" fillId="0" borderId="4" xfId="14" applyNumberFormat="1" applyFont="1" applyBorder="1">
      <alignment vertical="center"/>
    </xf>
    <xf numFmtId="10" fontId="18" fillId="0" borderId="0" xfId="14" applyNumberFormat="1" applyFont="1">
      <alignment vertical="center"/>
    </xf>
    <xf numFmtId="2" fontId="18" fillId="0" borderId="8" xfId="14" applyNumberFormat="1" applyFont="1" applyBorder="1" applyAlignment="1">
      <alignment horizontal="right" vertical="center"/>
    </xf>
    <xf numFmtId="2" fontId="18" fillId="6" borderId="4" xfId="10" applyNumberFormat="1" applyFont="1" applyFill="1" applyBorder="1" applyAlignment="1">
      <alignment horizontal="right" vertical="center"/>
    </xf>
    <xf numFmtId="2" fontId="18" fillId="6" borderId="4" xfId="10" applyNumberFormat="1" applyFont="1" applyFill="1" applyBorder="1" applyAlignment="1">
      <alignment horizontal="right" vertical="center" wrapText="1"/>
    </xf>
    <xf numFmtId="2" fontId="23" fillId="6" borderId="4" xfId="10" applyNumberFormat="1" applyFont="1" applyFill="1" applyBorder="1" applyAlignment="1">
      <alignment horizontal="right" vertical="center"/>
    </xf>
    <xf numFmtId="2" fontId="18" fillId="0" borderId="0" xfId="14" applyNumberFormat="1" applyFont="1">
      <alignment vertical="center"/>
    </xf>
    <xf numFmtId="170" fontId="18" fillId="0" borderId="0" xfId="14" applyNumberFormat="1" applyFont="1">
      <alignment vertical="center"/>
    </xf>
    <xf numFmtId="1" fontId="18" fillId="0" borderId="0" xfId="14" applyNumberFormat="1" applyFont="1">
      <alignment vertical="center"/>
    </xf>
    <xf numFmtId="4" fontId="18" fillId="0" borderId="0" xfId="10" applyNumberFormat="1" applyFont="1" applyAlignment="1">
      <alignment vertical="center"/>
    </xf>
    <xf numFmtId="168" fontId="18" fillId="0" borderId="0" xfId="10" applyNumberFormat="1" applyFont="1" applyAlignment="1">
      <alignment vertical="center"/>
    </xf>
    <xf numFmtId="164" fontId="18" fillId="0" borderId="4" xfId="70" applyFont="1" applyBorder="1" applyAlignment="1">
      <alignment horizontal="center" vertical="center"/>
    </xf>
    <xf numFmtId="164" fontId="18" fillId="0" borderId="4" xfId="70" applyFont="1" applyBorder="1" applyAlignment="1">
      <alignment vertical="center"/>
    </xf>
    <xf numFmtId="164" fontId="0" fillId="0" borderId="4" xfId="70" applyFont="1" applyBorder="1"/>
    <xf numFmtId="2" fontId="32" fillId="0" borderId="4" xfId="10" applyNumberFormat="1" applyFont="1" applyBorder="1" applyAlignment="1">
      <alignment horizontal="center" vertical="center"/>
    </xf>
    <xf numFmtId="0" fontId="32" fillId="0" borderId="4" xfId="10" applyFont="1" applyBorder="1" applyAlignment="1">
      <alignment horizontal="center" vertical="center" wrapText="1"/>
    </xf>
    <xf numFmtId="2" fontId="23" fillId="0" borderId="10" xfId="10" applyNumberFormat="1" applyFont="1" applyBorder="1" applyAlignment="1">
      <alignment vertical="center"/>
    </xf>
    <xf numFmtId="0" fontId="23" fillId="0" borderId="10" xfId="10" applyFont="1" applyBorder="1" applyAlignment="1">
      <alignment vertical="center" wrapText="1"/>
    </xf>
    <xf numFmtId="2" fontId="18" fillId="0" borderId="0" xfId="10" applyNumberFormat="1" applyFont="1" applyAlignment="1">
      <alignment horizontal="left" vertical="center"/>
    </xf>
    <xf numFmtId="164" fontId="18" fillId="0" borderId="0" xfId="10" applyNumberFormat="1" applyFont="1" applyAlignment="1">
      <alignment vertical="center"/>
    </xf>
    <xf numFmtId="0" fontId="10" fillId="0" borderId="4" xfId="14" applyFont="1" applyBorder="1" applyAlignment="1">
      <alignment vertical="center" wrapText="1"/>
    </xf>
    <xf numFmtId="2" fontId="18" fillId="0" borderId="0" xfId="10" applyNumberFormat="1" applyFont="1" applyAlignment="1">
      <alignment vertical="center"/>
    </xf>
    <xf numFmtId="2" fontId="23" fillId="6" borderId="4" xfId="14" applyNumberFormat="1" applyFont="1" applyFill="1" applyBorder="1" applyAlignment="1">
      <alignment horizontal="right" vertical="center"/>
    </xf>
    <xf numFmtId="2" fontId="23" fillId="5" borderId="4" xfId="14" applyNumberFormat="1" applyFont="1" applyFill="1" applyBorder="1" applyAlignment="1">
      <alignment horizontal="right" vertical="center"/>
    </xf>
    <xf numFmtId="2" fontId="23" fillId="0" borderId="4" xfId="14" applyNumberFormat="1" applyFont="1" applyBorder="1" applyAlignment="1">
      <alignment horizontal="right" vertical="center"/>
    </xf>
    <xf numFmtId="169" fontId="23" fillId="6" borderId="4" xfId="14" applyNumberFormat="1" applyFont="1" applyFill="1" applyBorder="1" applyAlignment="1">
      <alignment horizontal="right" vertical="center"/>
    </xf>
    <xf numFmtId="2" fontId="23" fillId="6" borderId="10" xfId="14" applyNumberFormat="1" applyFont="1" applyFill="1" applyBorder="1" applyAlignment="1">
      <alignment horizontal="right" vertical="center"/>
    </xf>
    <xf numFmtId="175" fontId="18" fillId="0" borderId="8" xfId="38" applyNumberFormat="1" applyFont="1" applyBorder="1" applyAlignment="1">
      <alignment vertical="center"/>
    </xf>
    <xf numFmtId="175" fontId="18" fillId="0" borderId="8" xfId="14" applyNumberFormat="1" applyFont="1" applyBorder="1">
      <alignment vertical="center"/>
    </xf>
    <xf numFmtId="175" fontId="23" fillId="6" borderId="8" xfId="14" applyNumberFormat="1" applyFont="1" applyFill="1" applyBorder="1">
      <alignment vertical="center"/>
    </xf>
    <xf numFmtId="0" fontId="0" fillId="0" borderId="10" xfId="0" applyBorder="1"/>
    <xf numFmtId="0" fontId="18" fillId="0" borderId="10" xfId="10" applyFont="1" applyBorder="1" applyAlignment="1">
      <alignment horizontal="center" vertical="center"/>
    </xf>
    <xf numFmtId="2" fontId="18" fillId="0" borderId="4" xfId="14" applyNumberFormat="1" applyFont="1" applyBorder="1" applyAlignment="1">
      <alignment horizontal="right" vertical="center" wrapText="1"/>
    </xf>
    <xf numFmtId="164" fontId="33" fillId="7" borderId="10" xfId="94" applyFont="1" applyFill="1" applyBorder="1"/>
    <xf numFmtId="2" fontId="34" fillId="0" borderId="10" xfId="10" applyNumberFormat="1" applyFont="1" applyBorder="1" applyAlignment="1">
      <alignment horizontal="center" vertical="center"/>
    </xf>
    <xf numFmtId="176" fontId="34" fillId="0" borderId="10" xfId="10" applyNumberFormat="1" applyFont="1" applyBorder="1" applyAlignment="1">
      <alignment horizontal="center" vertical="center"/>
    </xf>
    <xf numFmtId="43" fontId="34" fillId="0" borderId="10" xfId="94" applyNumberFormat="1" applyFont="1" applyBorder="1" applyAlignment="1">
      <alignment horizontal="center" vertical="center"/>
    </xf>
    <xf numFmtId="2" fontId="34" fillId="0" borderId="10" xfId="10" applyNumberFormat="1" applyFont="1" applyBorder="1" applyAlignment="1">
      <alignment vertical="center"/>
    </xf>
    <xf numFmtId="2" fontId="35" fillId="0" borderId="10" xfId="10" applyNumberFormat="1" applyFont="1" applyBorder="1" applyAlignment="1">
      <alignment horizontal="right" vertical="center"/>
    </xf>
    <xf numFmtId="2" fontId="34" fillId="0" borderId="10" xfId="10" applyNumberFormat="1" applyFont="1" applyBorder="1" applyAlignment="1">
      <alignment horizontal="right" vertical="center"/>
    </xf>
    <xf numFmtId="0" fontId="18" fillId="0" borderId="10" xfId="0" applyFont="1" applyBorder="1"/>
    <xf numFmtId="10" fontId="26" fillId="0" borderId="10" xfId="0" applyNumberFormat="1" applyFont="1" applyBorder="1"/>
    <xf numFmtId="0" fontId="23" fillId="0" borderId="10" xfId="10" applyFont="1" applyBorder="1" applyAlignment="1">
      <alignment horizontal="center" vertical="center" wrapText="1"/>
    </xf>
    <xf numFmtId="16" fontId="23" fillId="0" borderId="10" xfId="10" applyNumberFormat="1" applyFont="1" applyBorder="1" applyAlignment="1">
      <alignment horizontal="center" vertical="center" wrapText="1"/>
    </xf>
    <xf numFmtId="2" fontId="23" fillId="0" borderId="10" xfId="10" applyNumberFormat="1" applyFont="1" applyBorder="1" applyAlignment="1">
      <alignment horizontal="right" vertical="center"/>
    </xf>
    <xf numFmtId="0" fontId="23" fillId="0" borderId="10" xfId="10" applyFont="1" applyBorder="1" applyAlignment="1">
      <alignment vertical="center"/>
    </xf>
    <xf numFmtId="0" fontId="18" fillId="0" borderId="10" xfId="10" applyFont="1" applyBorder="1" applyAlignment="1">
      <alignment horizontal="left" vertical="center" wrapText="1"/>
    </xf>
    <xf numFmtId="0" fontId="18" fillId="0" borderId="10" xfId="10" applyFont="1" applyBorder="1" applyAlignment="1">
      <alignment vertical="center"/>
    </xf>
    <xf numFmtId="2" fontId="23" fillId="6" borderId="10" xfId="10" applyNumberFormat="1" applyFont="1" applyFill="1" applyBorder="1" applyAlignment="1">
      <alignment vertical="center"/>
    </xf>
    <xf numFmtId="0" fontId="18" fillId="0" borderId="10" xfId="10" applyFont="1" applyBorder="1" applyAlignment="1">
      <alignment horizontal="center" vertical="center" wrapText="1"/>
    </xf>
    <xf numFmtId="0" fontId="23" fillId="4" borderId="10" xfId="67" applyFont="1" applyFill="1" applyBorder="1" applyAlignment="1">
      <alignment horizontal="center" vertical="center" wrapText="1"/>
    </xf>
    <xf numFmtId="164" fontId="2" fillId="0" borderId="10" xfId="70" applyFont="1" applyBorder="1"/>
    <xf numFmtId="164" fontId="2" fillId="0" borderId="10" xfId="462" applyNumberFormat="1" applyBorder="1"/>
    <xf numFmtId="164" fontId="2" fillId="0" borderId="10" xfId="465" applyNumberFormat="1" applyBorder="1"/>
    <xf numFmtId="164" fontId="2" fillId="0" borderId="10" xfId="466" applyNumberFormat="1" applyBorder="1"/>
    <xf numFmtId="164" fontId="36" fillId="0" borderId="10" xfId="466" applyNumberFormat="1" applyFont="1" applyBorder="1"/>
    <xf numFmtId="0" fontId="18" fillId="4" borderId="10" xfId="67" applyFont="1" applyFill="1" applyBorder="1" applyAlignment="1">
      <alignment horizontal="center" vertical="center"/>
    </xf>
    <xf numFmtId="0" fontId="18" fillId="4" borderId="10" xfId="67" applyFont="1" applyFill="1" applyBorder="1" applyAlignment="1">
      <alignment horizontal="left" vertical="center"/>
    </xf>
    <xf numFmtId="164" fontId="18" fillId="4" borderId="10" xfId="70" applyFont="1" applyFill="1" applyBorder="1" applyAlignment="1">
      <alignment horizontal="left" vertical="center"/>
    </xf>
    <xf numFmtId="164" fontId="26" fillId="0" borderId="10" xfId="70" applyFont="1" applyBorder="1"/>
    <xf numFmtId="164" fontId="18" fillId="0" borderId="10" xfId="70" applyFont="1" applyBorder="1"/>
    <xf numFmtId="164" fontId="18" fillId="8" borderId="10" xfId="70" applyFont="1" applyFill="1" applyBorder="1" applyAlignment="1">
      <alignment horizontal="left" vertical="center"/>
    </xf>
    <xf numFmtId="2" fontId="23" fillId="6" borderId="10" xfId="19" applyNumberFormat="1" applyFont="1" applyFill="1" applyBorder="1" applyAlignment="1">
      <alignment horizontal="right" vertical="center"/>
    </xf>
    <xf numFmtId="0" fontId="18" fillId="4" borderId="10" xfId="67" applyFont="1" applyFill="1" applyBorder="1" applyAlignment="1">
      <alignment horizontal="right" vertical="center"/>
    </xf>
    <xf numFmtId="0" fontId="23" fillId="4" borderId="10" xfId="67" applyFont="1" applyFill="1" applyBorder="1" applyAlignment="1">
      <alignment horizontal="right" vertical="center"/>
    </xf>
    <xf numFmtId="10" fontId="23" fillId="6" borderId="10" xfId="67" applyNumberFormat="1" applyFont="1" applyFill="1" applyBorder="1" applyAlignment="1">
      <alignment horizontal="right" vertical="center"/>
    </xf>
    <xf numFmtId="164" fontId="26" fillId="0" borderId="10" xfId="70" applyFont="1" applyBorder="1" applyAlignment="1">
      <alignment horizontal="right"/>
    </xf>
    <xf numFmtId="164" fontId="18" fillId="0" borderId="10" xfId="14" applyNumberFormat="1" applyFont="1" applyBorder="1">
      <alignment vertical="center"/>
    </xf>
    <xf numFmtId="0" fontId="38" fillId="0" borderId="10" xfId="10" applyFont="1" applyBorder="1" applyAlignment="1">
      <alignment vertical="center"/>
    </xf>
    <xf numFmtId="2" fontId="26" fillId="0" borderId="10" xfId="10" applyNumberFormat="1" applyFont="1" applyBorder="1" applyAlignment="1">
      <alignment vertical="center"/>
    </xf>
    <xf numFmtId="2" fontId="26" fillId="7" borderId="10" xfId="10" applyNumberFormat="1" applyFont="1" applyFill="1" applyBorder="1" applyAlignment="1">
      <alignment vertical="center"/>
    </xf>
    <xf numFmtId="0" fontId="23" fillId="0" borderId="7" xfId="0" applyFont="1" applyBorder="1" applyAlignment="1">
      <alignment horizontal="right" vertical="center"/>
    </xf>
    <xf numFmtId="2" fontId="31" fillId="0" borderId="4" xfId="10" applyNumberFormat="1" applyFont="1" applyBorder="1" applyAlignment="1">
      <alignment horizontal="right" vertical="center"/>
    </xf>
    <xf numFmtId="176" fontId="35" fillId="0" borderId="10" xfId="10" applyNumberFormat="1" applyFont="1" applyBorder="1" applyAlignment="1">
      <alignment horizontal="right" vertical="center"/>
    </xf>
    <xf numFmtId="43" fontId="35" fillId="0" borderId="10" xfId="94" applyNumberFormat="1" applyFont="1" applyBorder="1" applyAlignment="1">
      <alignment horizontal="right" vertical="center"/>
    </xf>
    <xf numFmtId="0" fontId="18" fillId="0" borderId="10" xfId="10" applyFont="1" applyBorder="1" applyAlignment="1">
      <alignment vertical="center" wrapText="1"/>
    </xf>
    <xf numFmtId="0" fontId="34" fillId="0" borderId="7" xfId="10" applyFont="1" applyBorder="1" applyAlignment="1">
      <alignment horizontal="center" vertical="center" wrapText="1"/>
    </xf>
    <xf numFmtId="0" fontId="35" fillId="0" borderId="10" xfId="10" applyFont="1" applyBorder="1" applyAlignment="1">
      <alignment vertical="center" wrapText="1"/>
    </xf>
    <xf numFmtId="0" fontId="34" fillId="0" borderId="10" xfId="10" applyFont="1" applyBorder="1" applyAlignment="1">
      <alignment vertical="center" wrapText="1"/>
    </xf>
    <xf numFmtId="0" fontId="34" fillId="0" borderId="10" xfId="10" applyFont="1" applyBorder="1" applyAlignment="1">
      <alignment horizontal="center" vertical="center" wrapText="1"/>
    </xf>
    <xf numFmtId="0" fontId="35" fillId="0" borderId="10" xfId="10" applyFont="1" applyBorder="1" applyAlignment="1">
      <alignment vertical="center"/>
    </xf>
    <xf numFmtId="0" fontId="23" fillId="0" borderId="0" xfId="10" applyFont="1" applyAlignment="1">
      <alignment horizontal="center" vertical="center"/>
    </xf>
    <xf numFmtId="0" fontId="23" fillId="0" borderId="0" xfId="10" applyFont="1" applyAlignment="1">
      <alignment horizontal="left" vertical="center"/>
    </xf>
    <xf numFmtId="0" fontId="15" fillId="0" borderId="0" xfId="14" applyFont="1" applyAlignment="1">
      <alignment horizontal="center" vertical="center"/>
    </xf>
    <xf numFmtId="0" fontId="10" fillId="0" borderId="0" xfId="10" applyFont="1" applyAlignment="1">
      <alignment horizontal="center" vertical="center"/>
    </xf>
    <xf numFmtId="0" fontId="15" fillId="0" borderId="0" xfId="10" applyFont="1" applyAlignment="1">
      <alignment horizontal="center" vertical="center" wrapText="1"/>
    </xf>
    <xf numFmtId="0" fontId="10" fillId="0" borderId="0" xfId="10" applyFont="1" applyAlignment="1">
      <alignment horizontal="center" vertical="center" wrapText="1"/>
    </xf>
    <xf numFmtId="0" fontId="23" fillId="0" borderId="7" xfId="14" applyFont="1" applyBorder="1" applyAlignment="1">
      <alignment horizontal="center" vertical="center"/>
    </xf>
    <xf numFmtId="0" fontId="23" fillId="0" borderId="9" xfId="14" applyFont="1" applyBorder="1" applyAlignment="1">
      <alignment horizontal="center" vertical="center"/>
    </xf>
    <xf numFmtId="0" fontId="23" fillId="0" borderId="6" xfId="14" applyFont="1" applyBorder="1" applyAlignment="1">
      <alignment horizontal="center" vertical="center"/>
    </xf>
    <xf numFmtId="0" fontId="23" fillId="0" borderId="7" xfId="14" applyFont="1" applyBorder="1" applyAlignment="1">
      <alignment horizontal="center" vertical="center" wrapText="1"/>
    </xf>
    <xf numFmtId="0" fontId="23" fillId="0" borderId="9" xfId="14" applyFont="1" applyBorder="1" applyAlignment="1">
      <alignment horizontal="center" vertical="center" wrapText="1"/>
    </xf>
    <xf numFmtId="0" fontId="18" fillId="0" borderId="6" xfId="10" applyFont="1" applyBorder="1" applyAlignment="1">
      <alignment horizontal="center" vertical="center" wrapText="1"/>
    </xf>
    <xf numFmtId="0" fontId="23" fillId="0" borderId="4" xfId="14" applyFont="1" applyBorder="1" applyAlignment="1">
      <alignment horizontal="center" vertical="center"/>
    </xf>
    <xf numFmtId="0" fontId="18" fillId="0" borderId="4" xfId="10" applyFont="1" applyBorder="1" applyAlignment="1">
      <alignment horizontal="center" vertical="center"/>
    </xf>
    <xf numFmtId="0" fontId="23" fillId="0" borderId="4" xfId="14" applyFont="1" applyBorder="1" applyAlignment="1">
      <alignment horizontal="center" vertical="center" wrapText="1"/>
    </xf>
    <xf numFmtId="0" fontId="18" fillId="0" borderId="4" xfId="10" applyFont="1" applyBorder="1" applyAlignment="1">
      <alignment horizontal="center" vertical="center" wrapText="1"/>
    </xf>
    <xf numFmtId="0" fontId="23" fillId="0" borderId="5" xfId="14" applyFont="1" applyBorder="1" applyAlignment="1">
      <alignment horizontal="center" vertical="center" wrapText="1"/>
    </xf>
    <xf numFmtId="0" fontId="23" fillId="0" borderId="3" xfId="14" applyFont="1" applyBorder="1" applyAlignment="1">
      <alignment horizontal="center" vertical="center" wrapText="1"/>
    </xf>
    <xf numFmtId="0" fontId="23" fillId="0" borderId="8" xfId="14" applyFont="1" applyBorder="1" applyAlignment="1">
      <alignment horizontal="center" vertical="center" wrapText="1"/>
    </xf>
    <xf numFmtId="0" fontId="23" fillId="0" borderId="0" xfId="10" applyFont="1" applyAlignment="1">
      <alignment horizontal="center" vertical="center"/>
    </xf>
    <xf numFmtId="0" fontId="23" fillId="0" borderId="0" xfId="10" applyFont="1" applyAlignment="1">
      <alignment horizontal="left" vertical="center"/>
    </xf>
    <xf numFmtId="0" fontId="23" fillId="0" borderId="4" xfId="10" applyFont="1" applyBorder="1" applyAlignment="1">
      <alignment horizontal="center" vertical="center" wrapText="1"/>
    </xf>
    <xf numFmtId="0" fontId="23" fillId="0" borderId="7" xfId="10" applyFont="1" applyBorder="1" applyAlignment="1">
      <alignment horizontal="center" vertical="center" wrapText="1"/>
    </xf>
    <xf numFmtId="0" fontId="23" fillId="0" borderId="9" xfId="10" applyFont="1" applyBorder="1" applyAlignment="1">
      <alignment horizontal="center" vertical="center" wrapText="1"/>
    </xf>
    <xf numFmtId="0" fontId="23" fillId="0" borderId="6" xfId="10" applyFont="1" applyBorder="1" applyAlignment="1">
      <alignment horizontal="center" vertical="center" wrapText="1"/>
    </xf>
    <xf numFmtId="0" fontId="18" fillId="0" borderId="4" xfId="10" applyFont="1" applyBorder="1" applyAlignment="1">
      <alignment vertical="center"/>
    </xf>
    <xf numFmtId="0" fontId="23" fillId="0" borderId="4" xfId="10" applyFont="1" applyBorder="1" applyAlignment="1">
      <alignment horizontal="center" vertical="center"/>
    </xf>
    <xf numFmtId="0" fontId="23" fillId="4" borderId="10" xfId="67" applyFont="1" applyFill="1" applyBorder="1" applyAlignment="1">
      <alignment horizontal="center" vertical="center" wrapText="1"/>
    </xf>
    <xf numFmtId="0" fontId="23" fillId="4" borderId="10" xfId="67" applyFont="1" applyFill="1" applyBorder="1" applyAlignment="1">
      <alignment horizontal="center" vertical="center"/>
    </xf>
    <xf numFmtId="0" fontId="23" fillId="4" borderId="10" xfId="67" quotePrefix="1" applyFont="1" applyFill="1" applyBorder="1" applyAlignment="1">
      <alignment horizontal="center" vertical="center" wrapText="1"/>
    </xf>
    <xf numFmtId="0" fontId="23" fillId="0" borderId="3" xfId="10" applyFont="1" applyBorder="1" applyAlignment="1">
      <alignment horizontal="center" vertical="center"/>
    </xf>
    <xf numFmtId="0" fontId="23" fillId="0" borderId="8" xfId="10" applyFont="1" applyBorder="1" applyAlignment="1">
      <alignment horizontal="center" vertical="center"/>
    </xf>
    <xf numFmtId="0" fontId="11" fillId="0" borderId="4" xfId="10" applyBorder="1" applyAlignment="1">
      <alignment horizontal="center" vertical="center" wrapText="1"/>
    </xf>
    <xf numFmtId="0" fontId="11" fillId="0" borderId="4" xfId="10" applyBorder="1" applyAlignment="1">
      <alignment horizontal="center" vertical="center"/>
    </xf>
    <xf numFmtId="0" fontId="23" fillId="0" borderId="5" xfId="10" applyFont="1" applyBorder="1" applyAlignment="1">
      <alignment horizontal="center" vertical="center"/>
    </xf>
    <xf numFmtId="0" fontId="23" fillId="0" borderId="0" xfId="14" applyFont="1" applyAlignment="1">
      <alignment horizontal="center" vertical="center"/>
    </xf>
    <xf numFmtId="0" fontId="23" fillId="0" borderId="10" xfId="14" applyFont="1" applyBorder="1" applyAlignment="1">
      <alignment horizontal="center" vertical="center" wrapText="1"/>
    </xf>
    <xf numFmtId="0" fontId="23" fillId="0" borderId="10" xfId="10" applyFont="1" applyBorder="1" applyAlignment="1">
      <alignment horizontal="center" vertical="center"/>
    </xf>
    <xf numFmtId="0" fontId="23" fillId="0" borderId="10" xfId="10" applyFont="1" applyBorder="1" applyAlignment="1">
      <alignment horizontal="left" vertical="center" wrapText="1"/>
    </xf>
    <xf numFmtId="0" fontId="23" fillId="0" borderId="10" xfId="10" applyFont="1" applyBorder="1" applyAlignment="1">
      <alignment horizontal="left" vertical="center"/>
    </xf>
    <xf numFmtId="2" fontId="23" fillId="0" borderId="10" xfId="10" applyNumberFormat="1" applyFont="1" applyBorder="1" applyAlignment="1">
      <alignment horizontal="center" vertical="center"/>
    </xf>
    <xf numFmtId="0" fontId="26" fillId="0" borderId="10" xfId="202" applyFont="1" applyBorder="1" applyAlignment="1">
      <alignment horizontal="left" vertical="top" wrapText="1"/>
    </xf>
    <xf numFmtId="2" fontId="38" fillId="0" borderId="10" xfId="203" applyNumberFormat="1" applyFont="1" applyBorder="1" applyAlignment="1">
      <alignment horizontal="center" vertical="center" wrapText="1"/>
    </xf>
    <xf numFmtId="2" fontId="38" fillId="0" borderId="10" xfId="205" applyNumberFormat="1" applyFont="1" applyBorder="1" applyAlignment="1">
      <alignment horizontal="center" vertical="center" wrapText="1"/>
    </xf>
    <xf numFmtId="2" fontId="38" fillId="0" borderId="10" xfId="206" applyNumberFormat="1" applyFont="1" applyBorder="1" applyAlignment="1">
      <alignment horizontal="center" vertical="center" wrapText="1"/>
    </xf>
    <xf numFmtId="0" fontId="26" fillId="0" borderId="7" xfId="0" applyFont="1" applyBorder="1" applyAlignment="1">
      <alignment horizontal="left" vertical="center" wrapText="1"/>
    </xf>
    <xf numFmtId="0" fontId="38" fillId="0" borderId="7" xfId="0" applyFont="1" applyBorder="1" applyAlignment="1">
      <alignment horizontal="center" vertical="center" wrapText="1"/>
    </xf>
    <xf numFmtId="0" fontId="26" fillId="0" borderId="9" xfId="0" applyFont="1" applyBorder="1" applyAlignment="1">
      <alignment horizontal="left" vertical="center" wrapText="1"/>
    </xf>
    <xf numFmtId="0" fontId="38" fillId="0" borderId="9" xfId="0" applyFont="1" applyBorder="1" applyAlignment="1">
      <alignment horizontal="center" vertical="center" wrapText="1"/>
    </xf>
    <xf numFmtId="0" fontId="26" fillId="0" borderId="10" xfId="210" applyFont="1" applyFill="1" applyBorder="1" applyAlignment="1">
      <alignment horizontal="left" vertical="center" wrapText="1"/>
    </xf>
    <xf numFmtId="2" fontId="26" fillId="0" borderId="10" xfId="215" applyNumberFormat="1" applyFont="1" applyBorder="1" applyAlignment="1">
      <alignment horizontal="center" vertical="center" wrapText="1"/>
    </xf>
    <xf numFmtId="0" fontId="26" fillId="0" borderId="7" xfId="0" applyFont="1" applyBorder="1" applyAlignment="1">
      <alignment vertical="top" wrapText="1"/>
    </xf>
    <xf numFmtId="0" fontId="38" fillId="0" borderId="7" xfId="0" applyFont="1" applyBorder="1" applyAlignment="1">
      <alignment horizontal="center" vertical="center" wrapText="1"/>
    </xf>
    <xf numFmtId="2" fontId="36" fillId="0" borderId="10" xfId="218" applyNumberFormat="1" applyFont="1" applyBorder="1" applyAlignment="1">
      <alignment horizontal="center" vertical="center"/>
    </xf>
    <xf numFmtId="0" fontId="26" fillId="0" borderId="6" xfId="0" applyFont="1" applyBorder="1" applyAlignment="1">
      <alignment horizontal="left" vertical="center" wrapText="1"/>
    </xf>
    <xf numFmtId="0" fontId="38" fillId="0" borderId="6" xfId="0" applyFont="1" applyBorder="1" applyAlignment="1">
      <alignment horizontal="center" vertical="center" wrapText="1"/>
    </xf>
  </cellXfs>
  <cellStyles count="483">
    <cellStyle name="Body" xfId="1"/>
    <cellStyle name="Comma" xfId="70" builtinId="3"/>
    <cellStyle name="Comma  - Style1" xfId="2"/>
    <cellStyle name="Comma 10" xfId="94"/>
    <cellStyle name="Comma 10 2" xfId="95"/>
    <cellStyle name="Comma 10 3" xfId="251"/>
    <cellStyle name="Comma 10 4" xfId="264"/>
    <cellStyle name="Comma 10 5" xfId="480"/>
    <cellStyle name="Comma 11" xfId="96"/>
    <cellStyle name="Comma 11 2" xfId="19"/>
    <cellStyle name="Comma 11 2 10" xfId="435"/>
    <cellStyle name="Comma 11 2 11" xfId="482"/>
    <cellStyle name="Comma 11 2 2" xfId="97"/>
    <cellStyle name="Comma 11 2 2 2" xfId="98"/>
    <cellStyle name="Comma 11 2 2 3" xfId="92"/>
    <cellStyle name="Comma 11 2 2 4" xfId="347"/>
    <cellStyle name="Comma 11 2 2 5" xfId="366"/>
    <cellStyle name="Comma 11 2 2 6" xfId="384"/>
    <cellStyle name="Comma 11 2 2 7" xfId="400"/>
    <cellStyle name="Comma 11 2 2 8" xfId="416"/>
    <cellStyle name="Comma 11 2 3" xfId="208"/>
    <cellStyle name="Comma 11 2 4" xfId="348"/>
    <cellStyle name="Comma 11 2 5" xfId="357"/>
    <cellStyle name="Comma 11 2 6" xfId="375"/>
    <cellStyle name="Comma 11 2 7" xfId="393"/>
    <cellStyle name="Comma 11 2 8" xfId="409"/>
    <cellStyle name="Comma 11 2 9" xfId="71"/>
    <cellStyle name="Comma 11 2_F2.1" xfId="459"/>
    <cellStyle name="Comma 12" xfId="99"/>
    <cellStyle name="Comma 13" xfId="100"/>
    <cellStyle name="Comma 14" xfId="101"/>
    <cellStyle name="Comma 15" xfId="102"/>
    <cellStyle name="Comma 15 2" xfId="103"/>
    <cellStyle name="Comma 15 2 2" xfId="104"/>
    <cellStyle name="Comma 15 2 2 2" xfId="105"/>
    <cellStyle name="Comma 15 2 2 3" xfId="248"/>
    <cellStyle name="Comma 15 2 2 4" xfId="261"/>
    <cellStyle name="Comma 15 2 3" xfId="106"/>
    <cellStyle name="Comma 15 2 4" xfId="107"/>
    <cellStyle name="Comma 15 2 5" xfId="108"/>
    <cellStyle name="Comma 15 2 6" xfId="109"/>
    <cellStyle name="Comma 15 2 7" xfId="110"/>
    <cellStyle name="Comma 15 2 8" xfId="111"/>
    <cellStyle name="Comma 15 3" xfId="112"/>
    <cellStyle name="Comma 15 4" xfId="113"/>
    <cellStyle name="Comma 15 5" xfId="114"/>
    <cellStyle name="Comma 15 6" xfId="115"/>
    <cellStyle name="Comma 15 7" xfId="116"/>
    <cellStyle name="Comma 15 8" xfId="117"/>
    <cellStyle name="Comma 16" xfId="118"/>
    <cellStyle name="Comma 16 2" xfId="119"/>
    <cellStyle name="Comma 16 3" xfId="120"/>
    <cellStyle name="Comma 16 4" xfId="121"/>
    <cellStyle name="Comma 16 5" xfId="122"/>
    <cellStyle name="Comma 16 6" xfId="123"/>
    <cellStyle name="Comma 16 7" xfId="124"/>
    <cellStyle name="Comma 16 8" xfId="125"/>
    <cellStyle name="Comma 17" xfId="126"/>
    <cellStyle name="Comma 18" xfId="127"/>
    <cellStyle name="Comma 18 2" xfId="128"/>
    <cellStyle name="Comma 18 2 2" xfId="129"/>
    <cellStyle name="Comma 19" xfId="130"/>
    <cellStyle name="Comma 2" xfId="24"/>
    <cellStyle name="Comma 2 10" xfId="247"/>
    <cellStyle name="Comma 2 11" xfId="260"/>
    <cellStyle name="Comma 2 12" xfId="285"/>
    <cellStyle name="Comma 2 13" xfId="327"/>
    <cellStyle name="Comma 2 14" xfId="280"/>
    <cellStyle name="Comma 2 15" xfId="367"/>
    <cellStyle name="Comma 2 16" xfId="385"/>
    <cellStyle name="Comma 2 17" xfId="401"/>
    <cellStyle name="Comma 2 18" xfId="72"/>
    <cellStyle name="Comma 2 19" xfId="478"/>
    <cellStyle name="Comma 2 2" xfId="25"/>
    <cellStyle name="Comma 2 2 10" xfId="325"/>
    <cellStyle name="Comma 2 2 11" xfId="282"/>
    <cellStyle name="Comma 2 2 12" xfId="331"/>
    <cellStyle name="Comma 2 2 13" xfId="276"/>
    <cellStyle name="Comma 2 2 14" xfId="336"/>
    <cellStyle name="Comma 2 2 15" xfId="73"/>
    <cellStyle name="Comma 2 2 2" xfId="62"/>
    <cellStyle name="Comma 2 2 2 2" xfId="133"/>
    <cellStyle name="Comma 2 2 2 3" xfId="287"/>
    <cellStyle name="Comma 2 2 2 4" xfId="324"/>
    <cellStyle name="Comma 2 2 2 5" xfId="283"/>
    <cellStyle name="Comma 2 2 2 6" xfId="330"/>
    <cellStyle name="Comma 2 2 2 7" xfId="277"/>
    <cellStyle name="Comma 2 2 2 8" xfId="334"/>
    <cellStyle name="Comma 2 2 3" xfId="132"/>
    <cellStyle name="Comma 2 2 4" xfId="135"/>
    <cellStyle name="Comma 2 2 5" xfId="136"/>
    <cellStyle name="Comma 2 2 6" xfId="137"/>
    <cellStyle name="Comma 2 2 7" xfId="138"/>
    <cellStyle name="Comma 2 2 8" xfId="139"/>
    <cellStyle name="Comma 2 2 9" xfId="286"/>
    <cellStyle name="Comma 2 3" xfId="26"/>
    <cellStyle name="Comma 2 3 2" xfId="140"/>
    <cellStyle name="Comma 2 3 3" xfId="295"/>
    <cellStyle name="Comma 2 3 4" xfId="312"/>
    <cellStyle name="Comma 2 3 5" xfId="298"/>
    <cellStyle name="Comma 2 3 6" xfId="311"/>
    <cellStyle name="Comma 2 3 7" xfId="299"/>
    <cellStyle name="Comma 2 3 8" xfId="310"/>
    <cellStyle name="Comma 2 3 9" xfId="74"/>
    <cellStyle name="Comma 2 4" xfId="55"/>
    <cellStyle name="Comma 2 4 2" xfId="141"/>
    <cellStyle name="Comma 2 4 3" xfId="296"/>
    <cellStyle name="Comma 2 4 4" xfId="365"/>
    <cellStyle name="Comma 2 4 5" xfId="383"/>
    <cellStyle name="Comma 2 4 6" xfId="399"/>
    <cellStyle name="Comma 2 4 7" xfId="415"/>
    <cellStyle name="Comma 2 4 8" xfId="428"/>
    <cellStyle name="Comma 2 5" xfId="131"/>
    <cellStyle name="Comma 2 6" xfId="143"/>
    <cellStyle name="Comma 2 7" xfId="144"/>
    <cellStyle name="Comma 2 8" xfId="145"/>
    <cellStyle name="Comma 2 9" xfId="146"/>
    <cellStyle name="Comma 2_F2.1" xfId="460"/>
    <cellStyle name="Comma 20" xfId="147"/>
    <cellStyle name="Comma 21" xfId="148"/>
    <cellStyle name="Comma 22" xfId="149"/>
    <cellStyle name="Comma 23" xfId="150"/>
    <cellStyle name="Comma 24" xfId="151"/>
    <cellStyle name="Comma 25" xfId="152"/>
    <cellStyle name="Comma 26" xfId="153"/>
    <cellStyle name="Comma 27" xfId="154"/>
    <cellStyle name="Comma 28" xfId="155"/>
    <cellStyle name="Comma 29" xfId="156"/>
    <cellStyle name="Comma 3" xfId="27"/>
    <cellStyle name="Comma 3 10" xfId="75"/>
    <cellStyle name="Comma 3 11" xfId="477"/>
    <cellStyle name="Comma 3 2" xfId="61"/>
    <cellStyle name="Comma 3 2 2" xfId="76"/>
    <cellStyle name="Comma 3 2 3" xfId="436"/>
    <cellStyle name="Comma 3 3" xfId="157"/>
    <cellStyle name="Comma 3 4" xfId="301"/>
    <cellStyle name="Comma 3 5" xfId="361"/>
    <cellStyle name="Comma 3 6" xfId="379"/>
    <cellStyle name="Comma 3 7" xfId="396"/>
    <cellStyle name="Comma 3 8" xfId="412"/>
    <cellStyle name="Comma 3 9" xfId="426"/>
    <cellStyle name="Comma 3_F2.1" xfId="461"/>
    <cellStyle name="Comma 30" xfId="158"/>
    <cellStyle name="Comma 31" xfId="159"/>
    <cellStyle name="Comma 32" xfId="160"/>
    <cellStyle name="Comma 33" xfId="161"/>
    <cellStyle name="Comma 34" xfId="162"/>
    <cellStyle name="Comma 35" xfId="163"/>
    <cellStyle name="Comma 36" xfId="164"/>
    <cellStyle name="Comma 37" xfId="165"/>
    <cellStyle name="Comma 38" xfId="249"/>
    <cellStyle name="Comma 39" xfId="254"/>
    <cellStyle name="Comma 4" xfId="28"/>
    <cellStyle name="Comma 4 10" xfId="77"/>
    <cellStyle name="Comma 4 2" xfId="63"/>
    <cellStyle name="Comma 4 2 10" xfId="437"/>
    <cellStyle name="Comma 4 2 2" xfId="167"/>
    <cellStyle name="Comma 4 2 3" xfId="305"/>
    <cellStyle name="Comma 4 2 4" xfId="359"/>
    <cellStyle name="Comma 4 2 5" xfId="377"/>
    <cellStyle name="Comma 4 2 6" xfId="395"/>
    <cellStyle name="Comma 4 2 7" xfId="411"/>
    <cellStyle name="Comma 4 2 8" xfId="425"/>
    <cellStyle name="Comma 4 2 9" xfId="78"/>
    <cellStyle name="Comma 4 3" xfId="168"/>
    <cellStyle name="Comma 4 4" xfId="169"/>
    <cellStyle name="Comma 4 5" xfId="170"/>
    <cellStyle name="Comma 4 6" xfId="171"/>
    <cellStyle name="Comma 4 7" xfId="172"/>
    <cellStyle name="Comma 4 8" xfId="173"/>
    <cellStyle name="Comma 4 9" xfId="174"/>
    <cellStyle name="Comma 40" xfId="256"/>
    <cellStyle name="Comma 41" xfId="258"/>
    <cellStyle name="Comma 42" xfId="262"/>
    <cellStyle name="Comma 43" xfId="266"/>
    <cellStyle name="Comma 44" xfId="451"/>
    <cellStyle name="Comma 45" xfId="453"/>
    <cellStyle name="Comma 46" xfId="455"/>
    <cellStyle name="Comma 47" xfId="457"/>
    <cellStyle name="Comma 48" xfId="458"/>
    <cellStyle name="Comma 49" xfId="421"/>
    <cellStyle name="Comma 5" xfId="29"/>
    <cellStyle name="Comma 5 10" xfId="176"/>
    <cellStyle name="Comma 5 11" xfId="308"/>
    <cellStyle name="Comma 5 12" xfId="302"/>
    <cellStyle name="Comma 5 13" xfId="307"/>
    <cellStyle name="Comma 5 14" xfId="303"/>
    <cellStyle name="Comma 5 15" xfId="306"/>
    <cellStyle name="Comma 5 16" xfId="304"/>
    <cellStyle name="Comma 5 17" xfId="79"/>
    <cellStyle name="Comma 5 18" xfId="438"/>
    <cellStyle name="Comma 5 2" xfId="175"/>
    <cellStyle name="Comma 5 2 2" xfId="177"/>
    <cellStyle name="Comma 5 2 3" xfId="309"/>
    <cellStyle name="Comma 5 2 4" xfId="300"/>
    <cellStyle name="Comma 5 2 5" xfId="364"/>
    <cellStyle name="Comma 5 2 6" xfId="382"/>
    <cellStyle name="Comma 5 2 7" xfId="398"/>
    <cellStyle name="Comma 5 2 8" xfId="414"/>
    <cellStyle name="Comma 5 3" xfId="178"/>
    <cellStyle name="Comma 5 3 2" xfId="179"/>
    <cellStyle name="Comma 5 3 3" xfId="180"/>
    <cellStyle name="Comma 5 3 4" xfId="181"/>
    <cellStyle name="Comma 5 3 5" xfId="182"/>
    <cellStyle name="Comma 5 3 6" xfId="183"/>
    <cellStyle name="Comma 5 3 7" xfId="184"/>
    <cellStyle name="Comma 5 3 8" xfId="185"/>
    <cellStyle name="Comma 5 4" xfId="186"/>
    <cellStyle name="Comma 5 4 2" xfId="187"/>
    <cellStyle name="Comma 5 4 2 2" xfId="188"/>
    <cellStyle name="Comma 5 4 2 3" xfId="250"/>
    <cellStyle name="Comma 5 4 2 4" xfId="263"/>
    <cellStyle name="Comma 5 5" xfId="189"/>
    <cellStyle name="Comma 5 6" xfId="190"/>
    <cellStyle name="Comma 5 7" xfId="191"/>
    <cellStyle name="Comma 5 8" xfId="192"/>
    <cellStyle name="Comma 5 9" xfId="193"/>
    <cellStyle name="Comma 50" xfId="472"/>
    <cellStyle name="Comma 6" xfId="47"/>
    <cellStyle name="Comma 6 2" xfId="48"/>
    <cellStyle name="Comma 6 3" xfId="49"/>
    <cellStyle name="Comma 6 4" xfId="50"/>
    <cellStyle name="Comma 6 5" xfId="80"/>
    <cellStyle name="Comma 7" xfId="21"/>
    <cellStyle name="Comma 7 2" xfId="195"/>
    <cellStyle name="Comma 7 3" xfId="317"/>
    <cellStyle name="Comma 7 4" xfId="291"/>
    <cellStyle name="Comma 7 5" xfId="315"/>
    <cellStyle name="Comma 7 6" xfId="293"/>
    <cellStyle name="Comma 7 7" xfId="313"/>
    <cellStyle name="Comma 7 8" xfId="297"/>
    <cellStyle name="Comma 8" xfId="64"/>
    <cellStyle name="Comma 8 10" xfId="439"/>
    <cellStyle name="Comma 8 2" xfId="196"/>
    <cellStyle name="Comma 8 3" xfId="318"/>
    <cellStyle name="Comma 8 4" xfId="290"/>
    <cellStyle name="Comma 8 5" xfId="316"/>
    <cellStyle name="Comma 8 6" xfId="292"/>
    <cellStyle name="Comma 8 7" xfId="314"/>
    <cellStyle name="Comma 8 8" xfId="294"/>
    <cellStyle name="Comma 8 9" xfId="81"/>
    <cellStyle name="Comma 9" xfId="93"/>
    <cellStyle name="Comma 9 2" xfId="197"/>
    <cellStyle name="Comma 9 3" xfId="319"/>
    <cellStyle name="Comma 9 4" xfId="289"/>
    <cellStyle name="Comma 9 5" xfId="320"/>
    <cellStyle name="Comma 9 6" xfId="288"/>
    <cellStyle name="Comma 9 7" xfId="242"/>
    <cellStyle name="Comma 9 8" xfId="353"/>
    <cellStyle name="Curren - Style2" xfId="3"/>
    <cellStyle name="Grey" xfId="4"/>
    <cellStyle name="Header1" xfId="5"/>
    <cellStyle name="Header2" xfId="6"/>
    <cellStyle name="Hyperlink 2" xfId="198"/>
    <cellStyle name="Input [yellow]" xfId="7"/>
    <cellStyle name="no dec" xfId="8"/>
    <cellStyle name="Normal" xfId="0" builtinId="0"/>
    <cellStyle name="Normal - Style1" xfId="9"/>
    <cellStyle name="Normal 10" xfId="66"/>
    <cellStyle name="Normal 10 10" xfId="440"/>
    <cellStyle name="Normal 10 2" xfId="199"/>
    <cellStyle name="Normal 10 3" xfId="321"/>
    <cellStyle name="Normal 10 4" xfId="363"/>
    <cellStyle name="Normal 10 5" xfId="381"/>
    <cellStyle name="Normal 10 6" xfId="397"/>
    <cellStyle name="Normal 10 7" xfId="413"/>
    <cellStyle name="Normal 10 8" xfId="427"/>
    <cellStyle name="Normal 10 9" xfId="82"/>
    <cellStyle name="Normal 11" xfId="68"/>
    <cellStyle name="Normal 11 10" xfId="441"/>
    <cellStyle name="Normal 11 2" xfId="200"/>
    <cellStyle name="Normal 11 3" xfId="322"/>
    <cellStyle name="Normal 11 4" xfId="356"/>
    <cellStyle name="Normal 11 5" xfId="374"/>
    <cellStyle name="Normal 11 6" xfId="392"/>
    <cellStyle name="Normal 11 7" xfId="408"/>
    <cellStyle name="Normal 11 8" xfId="424"/>
    <cellStyle name="Normal 11 9" xfId="83"/>
    <cellStyle name="Normal 12" xfId="69"/>
    <cellStyle name="Normal 12 10" xfId="442"/>
    <cellStyle name="Normal 12 2" xfId="201"/>
    <cellStyle name="Normal 12 3" xfId="323"/>
    <cellStyle name="Normal 12 4" xfId="284"/>
    <cellStyle name="Normal 12 5" xfId="328"/>
    <cellStyle name="Normal 12 6" xfId="279"/>
    <cellStyle name="Normal 12 7" xfId="332"/>
    <cellStyle name="Normal 12 8" xfId="275"/>
    <cellStyle name="Normal 12 9" xfId="84"/>
    <cellStyle name="Normal 13" xfId="202"/>
    <cellStyle name="Normal 14" xfId="203"/>
    <cellStyle name="Normal 14 2" xfId="67"/>
    <cellStyle name="Normal 14 2 2" xfId="85"/>
    <cellStyle name="Normal 14 2 3" xfId="443"/>
    <cellStyle name="Normal 14 2 4" xfId="481"/>
    <cellStyle name="Normal 14 2_F2.1" xfId="463"/>
    <cellStyle name="Normal 15" xfId="18"/>
    <cellStyle name="Normal 15 10" xfId="444"/>
    <cellStyle name="Normal 15 2" xfId="204"/>
    <cellStyle name="Normal 15 3" xfId="326"/>
    <cellStyle name="Normal 15 4" xfId="281"/>
    <cellStyle name="Normal 15 5" xfId="358"/>
    <cellStyle name="Normal 15 6" xfId="376"/>
    <cellStyle name="Normal 15 7" xfId="394"/>
    <cellStyle name="Normal 15 8" xfId="410"/>
    <cellStyle name="Normal 15 9" xfId="86"/>
    <cellStyle name="Normal 16" xfId="205"/>
    <cellStyle name="Normal 16 2" xfId="473"/>
    <cellStyle name="Normal 16_F2.1" xfId="467"/>
    <cellStyle name="Normal 17" xfId="206"/>
    <cellStyle name="Normal 18" xfId="60"/>
    <cellStyle name="Normal 18 10" xfId="445"/>
    <cellStyle name="Normal 18 2" xfId="207"/>
    <cellStyle name="Normal 18 2 2" xfId="209"/>
    <cellStyle name="Normal 18 2 3" xfId="252"/>
    <cellStyle name="Normal 18 2 4" xfId="265"/>
    <cellStyle name="Normal 18 3" xfId="329"/>
    <cellStyle name="Normal 18 4" xfId="278"/>
    <cellStyle name="Normal 18 5" xfId="333"/>
    <cellStyle name="Normal 18 6" xfId="274"/>
    <cellStyle name="Normal 18 7" xfId="337"/>
    <cellStyle name="Normal 18 8" xfId="272"/>
    <cellStyle name="Normal 18 9" xfId="87"/>
    <cellStyle name="Normal 19" xfId="210"/>
    <cellStyle name="Normal 2" xfId="10"/>
    <cellStyle name="Normal 2 2" xfId="11"/>
    <cellStyle name="Normal 2 2 2" xfId="30"/>
    <cellStyle name="Normal 2 2 2 2" xfId="56"/>
    <cellStyle name="Normal 2 2 3" xfId="479"/>
    <cellStyle name="Normal 2 2_F2.1" xfId="464"/>
    <cellStyle name="Normal 2 3" xfId="12"/>
    <cellStyle name="Normal 2 3 2" xfId="213"/>
    <cellStyle name="Normal 2 3 3" xfId="335"/>
    <cellStyle name="Normal 2 3 4" xfId="273"/>
    <cellStyle name="Normal 2 3 5" xfId="338"/>
    <cellStyle name="Normal 2 3 6" xfId="271"/>
    <cellStyle name="Normal 2 3 7" xfId="339"/>
    <cellStyle name="Normal 2 3 8" xfId="270"/>
    <cellStyle name="Normal 2 4" xfId="51"/>
    <cellStyle name="Normal 2_ARR FINAL" xfId="31"/>
    <cellStyle name="Normal 20" xfId="214"/>
    <cellStyle name="Normal 21" xfId="215"/>
    <cellStyle name="Normal 22" xfId="216"/>
    <cellStyle name="Normal 23" xfId="217"/>
    <cellStyle name="Normal 24" xfId="218"/>
    <cellStyle name="Normal 24 2" xfId="474"/>
    <cellStyle name="Normal 24_F2.1" xfId="468"/>
    <cellStyle name="Normal 25" xfId="219"/>
    <cellStyle name="Normal 25 2" xfId="476"/>
    <cellStyle name="Normal 25_F2.1" xfId="469"/>
    <cellStyle name="Normal 26" xfId="220"/>
    <cellStyle name="Normal 26 2" xfId="475"/>
    <cellStyle name="Normal 26_F2.1" xfId="470"/>
    <cellStyle name="Normal 27" xfId="221"/>
    <cellStyle name="Normal 28" xfId="222"/>
    <cellStyle name="Normal 29" xfId="223"/>
    <cellStyle name="Normal 3" xfId="13"/>
    <cellStyle name="Normal 3 10" xfId="269"/>
    <cellStyle name="Normal 3 11" xfId="342"/>
    <cellStyle name="Normal 3 12" xfId="134"/>
    <cellStyle name="Normal 3 13" xfId="360"/>
    <cellStyle name="Normal 3 14" xfId="378"/>
    <cellStyle name="Normal 3 2" xfId="32"/>
    <cellStyle name="Normal 3 2 2" xfId="57"/>
    <cellStyle name="Normal 3 2 3" xfId="225"/>
    <cellStyle name="Normal 3 2 4" xfId="341"/>
    <cellStyle name="Normal 3 2 5" xfId="268"/>
    <cellStyle name="Normal 3 2 6" xfId="343"/>
    <cellStyle name="Normal 3 2 7" xfId="142"/>
    <cellStyle name="Normal 3 2 8" xfId="362"/>
    <cellStyle name="Normal 3 2 9" xfId="380"/>
    <cellStyle name="Normal 3 3" xfId="224"/>
    <cellStyle name="Normal 3 4" xfId="226"/>
    <cellStyle name="Normal 3 5" xfId="227"/>
    <cellStyle name="Normal 3 6" xfId="228"/>
    <cellStyle name="Normal 3 7" xfId="229"/>
    <cellStyle name="Normal 3 8" xfId="230"/>
    <cellStyle name="Normal 3 9" xfId="340"/>
    <cellStyle name="Normal 30" xfId="231"/>
    <cellStyle name="Normal 31" xfId="246"/>
    <cellStyle name="Normal 32" xfId="253"/>
    <cellStyle name="Normal 33" xfId="255"/>
    <cellStyle name="Normal 34" xfId="257"/>
    <cellStyle name="Normal 35" xfId="259"/>
    <cellStyle name="Normal 36" xfId="267"/>
    <cellStyle name="Normal 37" xfId="434"/>
    <cellStyle name="Normal 38" xfId="450"/>
    <cellStyle name="Normal 39" xfId="22"/>
    <cellStyle name="Normal 4" xfId="33"/>
    <cellStyle name="Normal 4 10" xfId="166"/>
    <cellStyle name="Normal 4 11" xfId="368"/>
    <cellStyle name="Normal 4 12" xfId="386"/>
    <cellStyle name="Normal 4 13" xfId="402"/>
    <cellStyle name="Normal 4 14" xfId="417"/>
    <cellStyle name="Normal 4 2" xfId="58"/>
    <cellStyle name="Normal 4 2 2" xfId="233"/>
    <cellStyle name="Normal 4 2 3" xfId="345"/>
    <cellStyle name="Normal 4 2 4" xfId="194"/>
    <cellStyle name="Normal 4 2 5" xfId="346"/>
    <cellStyle name="Normal 4 2 6" xfId="211"/>
    <cellStyle name="Normal 4 2 7" xfId="349"/>
    <cellStyle name="Normal 4 2 8" xfId="212"/>
    <cellStyle name="Normal 4 3" xfId="232"/>
    <cellStyle name="Normal 4 4" xfId="234"/>
    <cellStyle name="Normal 4 5" xfId="235"/>
    <cellStyle name="Normal 4 6" xfId="236"/>
    <cellStyle name="Normal 4 7" xfId="237"/>
    <cellStyle name="Normal 4 8" xfId="238"/>
    <cellStyle name="Normal 4 9" xfId="344"/>
    <cellStyle name="Normal 40" xfId="452"/>
    <cellStyle name="Normal 41" xfId="454"/>
    <cellStyle name="Normal 42" xfId="456"/>
    <cellStyle name="Normal 43" xfId="471"/>
    <cellStyle name="Normal 5" xfId="34"/>
    <cellStyle name="Normal 5 10" xfId="88"/>
    <cellStyle name="Normal 5 11" xfId="446"/>
    <cellStyle name="Normal 5 2" xfId="35"/>
    <cellStyle name="Normal 5 3" xfId="239"/>
    <cellStyle name="Normal 5 4" xfId="350"/>
    <cellStyle name="Normal 5 5" xfId="369"/>
    <cellStyle name="Normal 5 6" xfId="387"/>
    <cellStyle name="Normal 5 7" xfId="403"/>
    <cellStyle name="Normal 5 8" xfId="418"/>
    <cellStyle name="Normal 5 9" xfId="429"/>
    <cellStyle name="Normal 6" xfId="36"/>
    <cellStyle name="Normal 6 2" xfId="240"/>
    <cellStyle name="Normal 6 3" xfId="351"/>
    <cellStyle name="Normal 6 4" xfId="370"/>
    <cellStyle name="Normal 6 5" xfId="388"/>
    <cellStyle name="Normal 6 6" xfId="404"/>
    <cellStyle name="Normal 6 7" xfId="419"/>
    <cellStyle name="Normal 6 8" xfId="430"/>
    <cellStyle name="Normal 7" xfId="37"/>
    <cellStyle name="Normal 7 10" xfId="447"/>
    <cellStyle name="Normal 7 2" xfId="241"/>
    <cellStyle name="Normal 7 2 2" xfId="243"/>
    <cellStyle name="Normal 7 3" xfId="352"/>
    <cellStyle name="Normal 7 4" xfId="371"/>
    <cellStyle name="Normal 7 5" xfId="389"/>
    <cellStyle name="Normal 7 6" xfId="405"/>
    <cellStyle name="Normal 7 7" xfId="420"/>
    <cellStyle name="Normal 7 8" xfId="431"/>
    <cellStyle name="Normal 7 9" xfId="89"/>
    <cellStyle name="Normal 8" xfId="52"/>
    <cellStyle name="Normal 8 2" xfId="244"/>
    <cellStyle name="Normal 8 3" xfId="354"/>
    <cellStyle name="Normal 8 4" xfId="372"/>
    <cellStyle name="Normal 8 5" xfId="390"/>
    <cellStyle name="Normal 8 6" xfId="406"/>
    <cellStyle name="Normal 8 7" xfId="422"/>
    <cellStyle name="Normal 8 8" xfId="432"/>
    <cellStyle name="Normal 9" xfId="53"/>
    <cellStyle name="Normal 9 2" xfId="245"/>
    <cellStyle name="Normal 9 3" xfId="355"/>
    <cellStyle name="Normal 9 4" xfId="373"/>
    <cellStyle name="Normal 9 5" xfId="391"/>
    <cellStyle name="Normal 9 6" xfId="407"/>
    <cellStyle name="Normal 9 7" xfId="423"/>
    <cellStyle name="Normal 9 8" xfId="433"/>
    <cellStyle name="Normal_F2.1" xfId="462"/>
    <cellStyle name="Normal_F2.2" xfId="465"/>
    <cellStyle name="Normal_F2.3" xfId="466"/>
    <cellStyle name="Normal_FORMATS 5 YEAR ALOKE 2" xfId="14"/>
    <cellStyle name="Percent [0]_#6 Temps &amp; Contractors" xfId="15"/>
    <cellStyle name="Percent [2]" xfId="16"/>
    <cellStyle name="Percent 2" xfId="38"/>
    <cellStyle name="Percent 2 2" xfId="39"/>
    <cellStyle name="Percent 2 3" xfId="59"/>
    <cellStyle name="Percent 3" xfId="40"/>
    <cellStyle name="Percent 3 2" xfId="41"/>
    <cellStyle name="Percent 4" xfId="23"/>
    <cellStyle name="Percent 41" xfId="20"/>
    <cellStyle name="Percent 41 2" xfId="90"/>
    <cellStyle name="Percent 41 3" xfId="448"/>
    <cellStyle name="Percent 5" xfId="42"/>
    <cellStyle name="Percent 5 2" xfId="43"/>
    <cellStyle name="Percent 5 3" xfId="44"/>
    <cellStyle name="Percent 6" xfId="45"/>
    <cellStyle name="Percent 6 2" xfId="46"/>
    <cellStyle name="Percent 7" xfId="65"/>
    <cellStyle name="Percent 7 2" xfId="91"/>
    <cellStyle name="Percent 7 3" xfId="449"/>
    <cellStyle name="Style 1" xfId="17"/>
    <cellStyle name="Style 2" xfId="54"/>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0" zoomScaleNormal="80" zoomScaleSheetLayoutView="80" workbookViewId="0">
      <selection activeCell="H12" sqref="H12"/>
    </sheetView>
  </sheetViews>
  <sheetFormatPr defaultColWidth="9.28515625" defaultRowHeight="15" x14ac:dyDescent="0.2"/>
  <cols>
    <col min="1" max="1" width="3.7109375" style="6" customWidth="1"/>
    <col min="2" max="2" width="7.42578125" style="6" customWidth="1"/>
    <col min="3" max="3" width="12.5703125" style="6" customWidth="1"/>
    <col min="4" max="4" width="43.28515625" style="6" customWidth="1"/>
    <col min="5" max="5" width="11.42578125" style="6" customWidth="1"/>
    <col min="6" max="6" width="20.7109375" style="6" customWidth="1"/>
    <col min="7" max="8" width="18.7109375" style="6" customWidth="1"/>
    <col min="9" max="16384" width="9.28515625" style="6"/>
  </cols>
  <sheetData>
    <row r="1" spans="2:8" ht="15.75" x14ac:dyDescent="0.2">
      <c r="B1" s="210" t="s">
        <v>303</v>
      </c>
      <c r="C1" s="210"/>
      <c r="D1" s="211"/>
      <c r="E1" s="211"/>
      <c r="F1" s="1"/>
      <c r="G1" s="1"/>
      <c r="H1" s="1"/>
    </row>
    <row r="2" spans="2:8" ht="15.75" x14ac:dyDescent="0.2">
      <c r="B2" s="210" t="s">
        <v>335</v>
      </c>
      <c r="C2" s="210"/>
      <c r="D2" s="211"/>
      <c r="E2" s="211"/>
      <c r="F2" s="1"/>
      <c r="G2" s="1"/>
      <c r="H2" s="1"/>
    </row>
    <row r="3" spans="2:8" s="10" customFormat="1" ht="15.75" x14ac:dyDescent="0.2">
      <c r="B3" s="212" t="s">
        <v>278</v>
      </c>
      <c r="C3" s="212"/>
      <c r="D3" s="213"/>
      <c r="E3" s="213"/>
      <c r="F3" s="1"/>
      <c r="G3" s="1"/>
      <c r="H3" s="1"/>
    </row>
    <row r="4" spans="2:8" ht="15.75" x14ac:dyDescent="0.2">
      <c r="D4" s="64" t="s">
        <v>280</v>
      </c>
    </row>
    <row r="5" spans="2:8" ht="15.75" x14ac:dyDescent="0.2">
      <c r="B5" s="11" t="s">
        <v>169</v>
      </c>
      <c r="C5" s="11" t="s">
        <v>279</v>
      </c>
      <c r="D5" s="12" t="s">
        <v>7</v>
      </c>
      <c r="E5" s="12" t="s">
        <v>281</v>
      </c>
    </row>
    <row r="6" spans="2:8" x14ac:dyDescent="0.2">
      <c r="B6" s="7">
        <v>1</v>
      </c>
      <c r="C6" s="7" t="s">
        <v>6</v>
      </c>
      <c r="D6" s="147" t="s">
        <v>283</v>
      </c>
      <c r="E6" s="8"/>
    </row>
    <row r="7" spans="2:8" x14ac:dyDescent="0.2">
      <c r="B7" s="7">
        <f>B6+1</f>
        <v>2</v>
      </c>
      <c r="C7" s="7" t="s">
        <v>237</v>
      </c>
      <c r="D7" s="147" t="s">
        <v>285</v>
      </c>
      <c r="E7" s="8"/>
    </row>
    <row r="8" spans="2:8" x14ac:dyDescent="0.2">
      <c r="B8" s="7">
        <f>B7+1</f>
        <v>3</v>
      </c>
      <c r="C8" s="7" t="s">
        <v>24</v>
      </c>
      <c r="D8" s="147" t="s">
        <v>286</v>
      </c>
      <c r="E8" s="8"/>
    </row>
    <row r="9" spans="2:8" x14ac:dyDescent="0.2">
      <c r="B9" s="7">
        <f>B8+1</f>
        <v>4</v>
      </c>
      <c r="C9" s="7" t="s">
        <v>25</v>
      </c>
      <c r="D9" s="147" t="s">
        <v>287</v>
      </c>
      <c r="E9" s="8"/>
    </row>
    <row r="10" spans="2:8" x14ac:dyDescent="0.2">
      <c r="B10" s="7">
        <f>B9+1</f>
        <v>5</v>
      </c>
      <c r="C10" s="7" t="s">
        <v>238</v>
      </c>
      <c r="D10" s="147" t="s">
        <v>288</v>
      </c>
      <c r="E10" s="8"/>
    </row>
    <row r="11" spans="2:8" ht="30" x14ac:dyDescent="0.2">
      <c r="B11" s="7">
        <f t="shared" ref="B11:B26" si="0">B10+1</f>
        <v>6</v>
      </c>
      <c r="C11" s="7" t="s">
        <v>22</v>
      </c>
      <c r="D11" s="147" t="s">
        <v>193</v>
      </c>
      <c r="E11" s="8"/>
    </row>
    <row r="12" spans="2:8" ht="30" x14ac:dyDescent="0.2">
      <c r="B12" s="7">
        <f t="shared" si="0"/>
        <v>7</v>
      </c>
      <c r="C12" s="7" t="s">
        <v>27</v>
      </c>
      <c r="D12" s="147" t="s">
        <v>289</v>
      </c>
      <c r="E12" s="8"/>
    </row>
    <row r="13" spans="2:8" x14ac:dyDescent="0.2">
      <c r="B13" s="7">
        <f t="shared" si="0"/>
        <v>8</v>
      </c>
      <c r="C13" s="7" t="s">
        <v>28</v>
      </c>
      <c r="D13" s="9" t="s">
        <v>166</v>
      </c>
      <c r="E13" s="8"/>
    </row>
    <row r="14" spans="2:8" x14ac:dyDescent="0.2">
      <c r="B14" s="7">
        <f t="shared" si="0"/>
        <v>9</v>
      </c>
      <c r="C14" s="7" t="s">
        <v>23</v>
      </c>
      <c r="D14" s="9" t="s">
        <v>290</v>
      </c>
      <c r="E14" s="8"/>
    </row>
    <row r="15" spans="2:8" x14ac:dyDescent="0.2">
      <c r="B15" s="7">
        <f t="shared" si="0"/>
        <v>10</v>
      </c>
      <c r="C15" s="7" t="s">
        <v>29</v>
      </c>
      <c r="D15" s="147" t="s">
        <v>205</v>
      </c>
      <c r="E15" s="8"/>
    </row>
    <row r="16" spans="2:8" x14ac:dyDescent="0.2">
      <c r="B16" s="7">
        <f t="shared" si="0"/>
        <v>11</v>
      </c>
      <c r="C16" s="7" t="s">
        <v>30</v>
      </c>
      <c r="D16" s="9" t="s">
        <v>259</v>
      </c>
      <c r="E16" s="8"/>
    </row>
    <row r="17" spans="2:5" x14ac:dyDescent="0.2">
      <c r="B17" s="7">
        <f t="shared" si="0"/>
        <v>12</v>
      </c>
      <c r="C17" s="7" t="s">
        <v>31</v>
      </c>
      <c r="D17" s="9" t="s">
        <v>206</v>
      </c>
      <c r="E17" s="8"/>
    </row>
    <row r="18" spans="2:5" x14ac:dyDescent="0.2">
      <c r="B18" s="7">
        <f t="shared" si="0"/>
        <v>13</v>
      </c>
      <c r="C18" s="7" t="s">
        <v>32</v>
      </c>
      <c r="D18" s="9" t="s">
        <v>144</v>
      </c>
      <c r="E18" s="8"/>
    </row>
    <row r="19" spans="2:5" x14ac:dyDescent="0.2">
      <c r="B19" s="7">
        <f t="shared" si="0"/>
        <v>14</v>
      </c>
      <c r="C19" s="7" t="s">
        <v>33</v>
      </c>
      <c r="D19" s="9" t="s">
        <v>26</v>
      </c>
      <c r="E19" s="8"/>
    </row>
    <row r="20" spans="2:5" x14ac:dyDescent="0.2">
      <c r="B20" s="7">
        <f t="shared" si="0"/>
        <v>15</v>
      </c>
      <c r="C20" s="7" t="s">
        <v>34</v>
      </c>
      <c r="D20" s="147" t="s">
        <v>291</v>
      </c>
      <c r="E20" s="8"/>
    </row>
    <row r="21" spans="2:5" ht="30" x14ac:dyDescent="0.2">
      <c r="B21" s="7">
        <f t="shared" si="0"/>
        <v>16</v>
      </c>
      <c r="C21" s="7" t="s">
        <v>35</v>
      </c>
      <c r="D21" s="147" t="s">
        <v>292</v>
      </c>
      <c r="E21" s="8"/>
    </row>
    <row r="22" spans="2:5" x14ac:dyDescent="0.2">
      <c r="B22" s="7">
        <f t="shared" si="0"/>
        <v>17</v>
      </c>
      <c r="C22" s="7" t="s">
        <v>145</v>
      </c>
      <c r="D22" s="147" t="s">
        <v>209</v>
      </c>
      <c r="E22" s="8"/>
    </row>
    <row r="23" spans="2:5" x14ac:dyDescent="0.2">
      <c r="B23" s="7">
        <f t="shared" si="0"/>
        <v>18</v>
      </c>
      <c r="C23" s="7" t="s">
        <v>150</v>
      </c>
      <c r="D23" s="147" t="s">
        <v>293</v>
      </c>
      <c r="E23" s="8"/>
    </row>
    <row r="24" spans="2:5" x14ac:dyDescent="0.2">
      <c r="B24" s="7">
        <f t="shared" si="0"/>
        <v>19</v>
      </c>
      <c r="C24" s="7" t="s">
        <v>282</v>
      </c>
      <c r="D24" s="147" t="s">
        <v>200</v>
      </c>
      <c r="E24" s="8"/>
    </row>
    <row r="25" spans="2:5" x14ac:dyDescent="0.2">
      <c r="B25" s="7">
        <f t="shared" si="0"/>
        <v>20</v>
      </c>
      <c r="C25" s="7" t="s">
        <v>194</v>
      </c>
      <c r="D25" s="147" t="s">
        <v>294</v>
      </c>
      <c r="E25" s="8"/>
    </row>
    <row r="26" spans="2:5" x14ac:dyDescent="0.2">
      <c r="B26" s="7">
        <f t="shared" si="0"/>
        <v>21</v>
      </c>
      <c r="C26" s="7" t="s">
        <v>195</v>
      </c>
      <c r="D26" s="9" t="s">
        <v>295</v>
      </c>
      <c r="E26" s="8"/>
    </row>
  </sheetData>
  <mergeCells count="3">
    <mergeCell ref="B1:E1"/>
    <mergeCell ref="B3:E3"/>
    <mergeCell ref="B2:E2"/>
  </mergeCells>
  <phoneticPr fontId="14" type="noConversion"/>
  <pageMargins left="1.3"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topLeftCell="A36" zoomScale="93" zoomScaleNormal="93" zoomScaleSheetLayoutView="90" workbookViewId="0">
      <selection activeCell="O53" sqref="O53"/>
    </sheetView>
  </sheetViews>
  <sheetFormatPr defaultColWidth="9.28515625" defaultRowHeight="14.25" x14ac:dyDescent="0.2"/>
  <cols>
    <col min="1" max="1" width="4.28515625" style="5" customWidth="1"/>
    <col min="2" max="2" width="5.140625" style="5" customWidth="1"/>
    <col min="3" max="3" width="31.5703125" style="5" customWidth="1"/>
    <col min="4" max="4" width="8.140625" style="5" customWidth="1"/>
    <col min="5" max="5" width="11.28515625" style="5" customWidth="1"/>
    <col min="6" max="6" width="12.42578125" style="5" customWidth="1"/>
    <col min="7" max="7" width="9.5703125" style="5" customWidth="1"/>
    <col min="8" max="8" width="12.28515625" style="5" customWidth="1"/>
    <col min="9" max="9" width="12.140625" style="5" customWidth="1"/>
    <col min="10" max="10" width="14.140625" style="5" customWidth="1"/>
    <col min="11" max="11" width="11.28515625" style="5" customWidth="1"/>
    <col min="12" max="12" width="11.7109375" style="5" customWidth="1"/>
    <col min="13" max="13" width="12.85546875" style="5" customWidth="1"/>
    <col min="14" max="14" width="12.5703125" style="5" customWidth="1"/>
    <col min="15" max="15" width="10.7109375" style="5" customWidth="1"/>
    <col min="16" max="16" width="13.7109375" style="5" bestFit="1" customWidth="1"/>
    <col min="17" max="22" width="11.7109375" style="5" bestFit="1" customWidth="1"/>
    <col min="23" max="16384" width="9.28515625" style="5"/>
  </cols>
  <sheetData>
    <row r="1" spans="2:16" ht="6" customHeight="1" x14ac:dyDescent="0.2">
      <c r="B1" s="24"/>
    </row>
    <row r="2" spans="2:16" ht="15" x14ac:dyDescent="0.2">
      <c r="H2" s="32" t="s">
        <v>304</v>
      </c>
      <c r="I2" s="33"/>
    </row>
    <row r="3" spans="2:16" ht="15" x14ac:dyDescent="0.2">
      <c r="H3" s="32" t="str">
        <f>'F1'!$F$3</f>
        <v>Lower Jurala HES</v>
      </c>
      <c r="I3" s="33"/>
    </row>
    <row r="4" spans="2:16" ht="15" x14ac:dyDescent="0.2">
      <c r="H4" s="35" t="s">
        <v>243</v>
      </c>
      <c r="I4" s="35"/>
    </row>
    <row r="5" spans="2:16" ht="10.5" customHeight="1" x14ac:dyDescent="0.2">
      <c r="K5" s="35"/>
      <c r="O5" s="32" t="s">
        <v>4</v>
      </c>
    </row>
    <row r="6" spans="2:16" ht="7.5" customHeight="1" x14ac:dyDescent="0.2">
      <c r="F6" s="136"/>
      <c r="G6" s="136"/>
      <c r="H6" s="136"/>
      <c r="I6" s="136"/>
      <c r="J6" s="136"/>
      <c r="K6" s="136"/>
      <c r="L6" s="136"/>
      <c r="M6" s="136"/>
      <c r="N6" s="136"/>
      <c r="O6" s="136"/>
      <c r="P6" s="136"/>
    </row>
    <row r="7" spans="2:16" ht="15" x14ac:dyDescent="0.2">
      <c r="B7" s="236" t="s">
        <v>305</v>
      </c>
      <c r="C7" s="236"/>
      <c r="D7" s="236"/>
      <c r="E7" s="236"/>
      <c r="F7" s="236"/>
      <c r="G7" s="236"/>
      <c r="H7" s="236"/>
      <c r="I7" s="236"/>
      <c r="J7" s="236"/>
      <c r="K7" s="236"/>
      <c r="L7" s="236"/>
      <c r="M7" s="236"/>
      <c r="N7" s="236"/>
      <c r="O7" s="236"/>
    </row>
    <row r="8" spans="2:16" ht="14.25" customHeight="1" x14ac:dyDescent="0.2">
      <c r="B8" s="235" t="s">
        <v>2</v>
      </c>
      <c r="C8" s="237" t="s">
        <v>236</v>
      </c>
      <c r="D8" s="235" t="s">
        <v>225</v>
      </c>
      <c r="E8" s="235" t="s">
        <v>226</v>
      </c>
      <c r="F8" s="235" t="s">
        <v>227</v>
      </c>
      <c r="G8" s="235"/>
      <c r="H8" s="235"/>
      <c r="I8" s="235"/>
      <c r="J8" s="235" t="s">
        <v>228</v>
      </c>
      <c r="K8" s="235"/>
      <c r="L8" s="235"/>
      <c r="M8" s="235"/>
      <c r="N8" s="235" t="s">
        <v>229</v>
      </c>
      <c r="O8" s="235"/>
    </row>
    <row r="9" spans="2:16" ht="60" x14ac:dyDescent="0.2">
      <c r="B9" s="235"/>
      <c r="C9" s="237"/>
      <c r="D9" s="235"/>
      <c r="E9" s="235"/>
      <c r="F9" s="177" t="s">
        <v>230</v>
      </c>
      <c r="G9" s="177" t="s">
        <v>126</v>
      </c>
      <c r="H9" s="177" t="s">
        <v>231</v>
      </c>
      <c r="I9" s="177" t="s">
        <v>232</v>
      </c>
      <c r="J9" s="177" t="s">
        <v>233</v>
      </c>
      <c r="K9" s="177" t="s">
        <v>126</v>
      </c>
      <c r="L9" s="177" t="s">
        <v>234</v>
      </c>
      <c r="M9" s="177" t="s">
        <v>235</v>
      </c>
      <c r="N9" s="177" t="s">
        <v>230</v>
      </c>
      <c r="O9" s="177" t="s">
        <v>232</v>
      </c>
    </row>
    <row r="10" spans="2:16" x14ac:dyDescent="0.2">
      <c r="B10" s="183">
        <v>1</v>
      </c>
      <c r="C10" s="184" t="s">
        <v>336</v>
      </c>
      <c r="D10" s="184">
        <v>1000</v>
      </c>
      <c r="E10" s="167">
        <v>0</v>
      </c>
      <c r="F10" s="185">
        <v>12.948040599999999</v>
      </c>
      <c r="G10" s="185">
        <v>0</v>
      </c>
      <c r="H10" s="186"/>
      <c r="I10" s="187">
        <f>F10+G10+H10</f>
        <v>12.948040599999999</v>
      </c>
      <c r="J10" s="185">
        <v>0</v>
      </c>
      <c r="K10" s="185">
        <v>0</v>
      </c>
      <c r="L10" s="185">
        <v>0</v>
      </c>
      <c r="M10" s="187">
        <f>J10+K10+L10</f>
        <v>0</v>
      </c>
      <c r="N10" s="186">
        <f>+F10-J10</f>
        <v>12.948040599999999</v>
      </c>
      <c r="O10" s="186">
        <f>+I10-M10</f>
        <v>12.948040599999999</v>
      </c>
    </row>
    <row r="11" spans="2:16" x14ac:dyDescent="0.2">
      <c r="B11" s="183">
        <v>2</v>
      </c>
      <c r="C11" s="184" t="s">
        <v>337</v>
      </c>
      <c r="D11" s="184">
        <v>1100</v>
      </c>
      <c r="E11" s="167"/>
      <c r="F11" s="185">
        <v>27.602047922000004</v>
      </c>
      <c r="G11" s="185">
        <v>3.01617E-2</v>
      </c>
      <c r="H11" s="186"/>
      <c r="I11" s="187">
        <f t="shared" ref="I11:I20" si="0">F11+G11+H11</f>
        <v>27.632209622000005</v>
      </c>
      <c r="J11" s="185">
        <v>6.6746109049999998</v>
      </c>
      <c r="K11" s="185">
        <v>0.80854258300000004</v>
      </c>
      <c r="L11" s="185">
        <v>0</v>
      </c>
      <c r="M11" s="187">
        <f t="shared" ref="M11:M20" si="1">J11+K11+L11</f>
        <v>7.4831534880000001</v>
      </c>
      <c r="N11" s="186">
        <f t="shared" ref="N11:N20" si="2">+F11-J11</f>
        <v>20.927437017000003</v>
      </c>
      <c r="O11" s="186">
        <f t="shared" ref="O11:O20" si="3">+I11-M11</f>
        <v>20.149056134000006</v>
      </c>
    </row>
    <row r="12" spans="2:16" x14ac:dyDescent="0.2">
      <c r="B12" s="183">
        <v>3</v>
      </c>
      <c r="C12" s="184" t="s">
        <v>338</v>
      </c>
      <c r="D12" s="184">
        <v>1200</v>
      </c>
      <c r="E12" s="168"/>
      <c r="F12" s="185">
        <v>21.567265427000002</v>
      </c>
      <c r="G12" s="185">
        <v>0</v>
      </c>
      <c r="H12" s="186"/>
      <c r="I12" s="187">
        <f t="shared" si="0"/>
        <v>21.567265427000002</v>
      </c>
      <c r="J12" s="185">
        <v>9.0187023580000005</v>
      </c>
      <c r="K12" s="185">
        <v>0.56890035000000005</v>
      </c>
      <c r="L12" s="185">
        <v>0</v>
      </c>
      <c r="M12" s="187">
        <f t="shared" si="1"/>
        <v>9.5876027080000004</v>
      </c>
      <c r="N12" s="186">
        <f t="shared" si="2"/>
        <v>12.548563069000002</v>
      </c>
      <c r="O12" s="186">
        <f t="shared" si="3"/>
        <v>11.979662719000002</v>
      </c>
    </row>
    <row r="13" spans="2:16" x14ac:dyDescent="0.2">
      <c r="B13" s="183">
        <v>4</v>
      </c>
      <c r="C13" s="184" t="s">
        <v>339</v>
      </c>
      <c r="D13" s="184">
        <v>1300</v>
      </c>
      <c r="E13" s="168"/>
      <c r="F13" s="185">
        <v>693.47846067899991</v>
      </c>
      <c r="G13" s="185">
        <v>1.993489289</v>
      </c>
      <c r="H13" s="186"/>
      <c r="I13" s="187">
        <f t="shared" si="0"/>
        <v>695.47194996799988</v>
      </c>
      <c r="J13" s="185">
        <v>305.32588786299999</v>
      </c>
      <c r="K13" s="185">
        <v>8.3324042760000001</v>
      </c>
      <c r="L13" s="185">
        <v>0</v>
      </c>
      <c r="M13" s="187">
        <f t="shared" si="1"/>
        <v>313.65829213899997</v>
      </c>
      <c r="N13" s="186">
        <f t="shared" si="2"/>
        <v>388.15257281599992</v>
      </c>
      <c r="O13" s="186">
        <f t="shared" si="3"/>
        <v>381.81365782899991</v>
      </c>
    </row>
    <row r="14" spans="2:16" x14ac:dyDescent="0.2">
      <c r="B14" s="183">
        <v>5</v>
      </c>
      <c r="C14" s="184" t="s">
        <v>340</v>
      </c>
      <c r="D14" s="184">
        <v>1500</v>
      </c>
      <c r="E14" s="168"/>
      <c r="F14" s="185">
        <v>239.82272132899999</v>
      </c>
      <c r="G14" s="185">
        <v>4.9785016359999998</v>
      </c>
      <c r="H14" s="186"/>
      <c r="I14" s="187">
        <f>F14+G14+H14</f>
        <v>244.80122296499999</v>
      </c>
      <c r="J14" s="185">
        <v>80.265083660000002</v>
      </c>
      <c r="K14" s="185">
        <v>4.3283312240000003</v>
      </c>
      <c r="L14" s="185">
        <v>0</v>
      </c>
      <c r="M14" s="187">
        <f t="shared" si="1"/>
        <v>84.593414883999998</v>
      </c>
      <c r="N14" s="186">
        <f t="shared" si="2"/>
        <v>159.55763766899997</v>
      </c>
      <c r="O14" s="186">
        <f t="shared" si="3"/>
        <v>160.207808081</v>
      </c>
      <c r="P14" s="148"/>
    </row>
    <row r="15" spans="2:16" x14ac:dyDescent="0.2">
      <c r="B15" s="183">
        <v>6</v>
      </c>
      <c r="C15" s="184" t="s">
        <v>341</v>
      </c>
      <c r="D15" s="184">
        <v>1600</v>
      </c>
      <c r="E15" s="168"/>
      <c r="F15" s="185">
        <v>639.599459615</v>
      </c>
      <c r="G15" s="185">
        <v>1.4203336359999998</v>
      </c>
      <c r="H15" s="186"/>
      <c r="I15" s="187">
        <f t="shared" si="0"/>
        <v>641.01979325100001</v>
      </c>
      <c r="J15" s="185">
        <v>209.55773704200007</v>
      </c>
      <c r="K15" s="185">
        <v>12.892507410000004</v>
      </c>
      <c r="L15" s="185">
        <v>0</v>
      </c>
      <c r="M15" s="187">
        <f t="shared" si="1"/>
        <v>222.45024445200008</v>
      </c>
      <c r="N15" s="186">
        <f t="shared" si="2"/>
        <v>430.0417225729999</v>
      </c>
      <c r="O15" s="186">
        <f t="shared" si="3"/>
        <v>418.5695487989999</v>
      </c>
    </row>
    <row r="16" spans="2:16" x14ac:dyDescent="0.2">
      <c r="B16" s="183">
        <v>7</v>
      </c>
      <c r="C16" s="184" t="s">
        <v>342</v>
      </c>
      <c r="D16" s="184">
        <v>1700</v>
      </c>
      <c r="E16" s="168"/>
      <c r="F16" s="185">
        <v>7.6712600000000006E-2</v>
      </c>
      <c r="G16" s="188"/>
      <c r="H16" s="186"/>
      <c r="I16" s="187">
        <f t="shared" si="0"/>
        <v>7.6712600000000006E-2</v>
      </c>
      <c r="J16" s="185">
        <v>6.9041340000000007E-2</v>
      </c>
      <c r="K16" s="185">
        <v>0</v>
      </c>
      <c r="L16" s="185"/>
      <c r="M16" s="187">
        <f t="shared" si="1"/>
        <v>6.9041340000000007E-2</v>
      </c>
      <c r="N16" s="186">
        <f t="shared" si="2"/>
        <v>7.6712599999999992E-3</v>
      </c>
      <c r="O16" s="186">
        <f t="shared" si="3"/>
        <v>7.6712599999999992E-3</v>
      </c>
    </row>
    <row r="17" spans="2:16" x14ac:dyDescent="0.2">
      <c r="B17" s="183">
        <v>8</v>
      </c>
      <c r="C17" s="184" t="s">
        <v>343</v>
      </c>
      <c r="D17" s="184">
        <v>1800</v>
      </c>
      <c r="E17" s="168"/>
      <c r="F17" s="185">
        <v>0.29877994400000002</v>
      </c>
      <c r="G17" s="185">
        <v>0</v>
      </c>
      <c r="H17" s="186"/>
      <c r="I17" s="187">
        <f t="shared" si="0"/>
        <v>0.29877994400000002</v>
      </c>
      <c r="J17" s="185">
        <v>0.213253937</v>
      </c>
      <c r="K17" s="185">
        <v>1.2740049999999999E-2</v>
      </c>
      <c r="L17" s="185">
        <v>0</v>
      </c>
      <c r="M17" s="187">
        <f t="shared" si="1"/>
        <v>0.22599398700000001</v>
      </c>
      <c r="N17" s="186">
        <f t="shared" si="2"/>
        <v>8.5526007000000015E-2</v>
      </c>
      <c r="O17" s="186">
        <f t="shared" si="3"/>
        <v>7.2785957000000012E-2</v>
      </c>
    </row>
    <row r="18" spans="2:16" x14ac:dyDescent="0.2">
      <c r="B18" s="183">
        <v>9</v>
      </c>
      <c r="C18" s="184" t="s">
        <v>309</v>
      </c>
      <c r="D18" s="184">
        <v>1900</v>
      </c>
      <c r="E18" s="168"/>
      <c r="F18" s="185">
        <v>0.194506084</v>
      </c>
      <c r="G18" s="185">
        <v>0</v>
      </c>
      <c r="H18" s="186"/>
      <c r="I18" s="187">
        <f t="shared" si="0"/>
        <v>0.194506084</v>
      </c>
      <c r="J18" s="185">
        <v>0.16804834599999999</v>
      </c>
      <c r="K18" s="185">
        <v>2.4874939000000002E-2</v>
      </c>
      <c r="L18" s="185">
        <v>0</v>
      </c>
      <c r="M18" s="187">
        <f t="shared" si="1"/>
        <v>0.192923285</v>
      </c>
      <c r="N18" s="186">
        <f t="shared" si="2"/>
        <v>2.6457738000000008E-2</v>
      </c>
      <c r="O18" s="186">
        <f t="shared" si="3"/>
        <v>1.5827989999999958E-3</v>
      </c>
    </row>
    <row r="19" spans="2:16" x14ac:dyDescent="0.2">
      <c r="B19" s="183">
        <v>10</v>
      </c>
      <c r="C19" s="184" t="s">
        <v>344</v>
      </c>
      <c r="D19" s="184">
        <v>2100</v>
      </c>
      <c r="E19" s="168"/>
      <c r="F19" s="185">
        <v>0.20747599999999999</v>
      </c>
      <c r="G19" s="185">
        <v>4.248E-3</v>
      </c>
      <c r="H19" s="186"/>
      <c r="I19" s="187">
        <f t="shared" si="0"/>
        <v>0.211724</v>
      </c>
      <c r="J19" s="185">
        <v>0.13310474899999999</v>
      </c>
      <c r="K19" s="185">
        <v>5.1699167999999997E-2</v>
      </c>
      <c r="L19" s="185">
        <v>0</v>
      </c>
      <c r="M19" s="187">
        <f t="shared" si="1"/>
        <v>0.18480391699999998</v>
      </c>
      <c r="N19" s="186">
        <f t="shared" si="2"/>
        <v>7.4371250999999999E-2</v>
      </c>
      <c r="O19" s="186">
        <f t="shared" si="3"/>
        <v>2.6920083000000011E-2</v>
      </c>
    </row>
    <row r="20" spans="2:16" x14ac:dyDescent="0.2">
      <c r="B20" s="183">
        <v>11</v>
      </c>
      <c r="C20" s="184" t="s">
        <v>345</v>
      </c>
      <c r="D20" s="184">
        <v>2200</v>
      </c>
      <c r="E20" s="168"/>
      <c r="F20" s="185">
        <v>1.4529800000000001E-2</v>
      </c>
      <c r="G20" s="185">
        <v>0</v>
      </c>
      <c r="H20" s="186"/>
      <c r="I20" s="187">
        <f t="shared" si="0"/>
        <v>1.4529800000000001E-2</v>
      </c>
      <c r="J20" s="185">
        <v>1.4529800000000001E-2</v>
      </c>
      <c r="K20" s="185">
        <v>0</v>
      </c>
      <c r="L20" s="185">
        <v>0</v>
      </c>
      <c r="M20" s="187">
        <f t="shared" si="1"/>
        <v>1.4529800000000001E-2</v>
      </c>
      <c r="N20" s="186">
        <f t="shared" si="2"/>
        <v>0</v>
      </c>
      <c r="O20" s="186">
        <f t="shared" si="3"/>
        <v>0</v>
      </c>
    </row>
    <row r="21" spans="2:16" s="48" customFormat="1" ht="15" x14ac:dyDescent="0.2">
      <c r="B21" s="190"/>
      <c r="C21" s="191" t="s">
        <v>127</v>
      </c>
      <c r="D21" s="191"/>
      <c r="E21" s="192">
        <f>IFERROR((K21-L21)/AVERAGE(F21,I21),0)</f>
        <v>1.64753586073383E-2</v>
      </c>
      <c r="F21" s="189">
        <f>ROUND(SUM(F10:F20),2)</f>
        <v>1635.81</v>
      </c>
      <c r="G21" s="189">
        <f t="shared" ref="G21:O21" si="4">ROUND(SUM(G10:G20),2)</f>
        <v>8.43</v>
      </c>
      <c r="H21" s="189">
        <f t="shared" si="4"/>
        <v>0</v>
      </c>
      <c r="I21" s="189">
        <f t="shared" si="4"/>
        <v>1644.24</v>
      </c>
      <c r="J21" s="189">
        <f t="shared" si="4"/>
        <v>611.44000000000005</v>
      </c>
      <c r="K21" s="189">
        <f t="shared" si="4"/>
        <v>27.02</v>
      </c>
      <c r="L21" s="189">
        <f t="shared" si="4"/>
        <v>0</v>
      </c>
      <c r="M21" s="189">
        <f t="shared" si="4"/>
        <v>638.46</v>
      </c>
      <c r="N21" s="189">
        <f t="shared" si="4"/>
        <v>1024.3699999999999</v>
      </c>
      <c r="O21" s="189">
        <f t="shared" si="4"/>
        <v>1005.78</v>
      </c>
    </row>
    <row r="22" spans="2:16" x14ac:dyDescent="0.2">
      <c r="E22" s="146"/>
      <c r="F22" s="146"/>
      <c r="G22" s="146"/>
      <c r="H22" s="146"/>
      <c r="I22" s="146"/>
      <c r="J22" s="146"/>
      <c r="K22" s="146"/>
      <c r="L22" s="146"/>
      <c r="M22" s="146"/>
      <c r="N22" s="146"/>
      <c r="O22" s="146"/>
      <c r="P22" s="146"/>
    </row>
    <row r="23" spans="2:16" ht="15" x14ac:dyDescent="0.2">
      <c r="B23" s="236" t="s">
        <v>306</v>
      </c>
      <c r="C23" s="236"/>
      <c r="D23" s="236"/>
      <c r="E23" s="236"/>
      <c r="F23" s="236"/>
      <c r="G23" s="236"/>
      <c r="H23" s="236"/>
      <c r="I23" s="236"/>
      <c r="J23" s="236"/>
      <c r="K23" s="236"/>
      <c r="L23" s="236"/>
      <c r="M23" s="236"/>
      <c r="N23" s="236"/>
      <c r="O23" s="236"/>
    </row>
    <row r="24" spans="2:16" ht="15" x14ac:dyDescent="0.2">
      <c r="B24" s="235" t="s">
        <v>2</v>
      </c>
      <c r="C24" s="237" t="s">
        <v>236</v>
      </c>
      <c r="D24" s="235" t="s">
        <v>225</v>
      </c>
      <c r="E24" s="235" t="s">
        <v>226</v>
      </c>
      <c r="F24" s="235" t="s">
        <v>227</v>
      </c>
      <c r="G24" s="235"/>
      <c r="H24" s="235"/>
      <c r="I24" s="235"/>
      <c r="J24" s="235" t="s">
        <v>228</v>
      </c>
      <c r="K24" s="235"/>
      <c r="L24" s="235"/>
      <c r="M24" s="235"/>
      <c r="N24" s="235" t="s">
        <v>229</v>
      </c>
      <c r="O24" s="235"/>
    </row>
    <row r="25" spans="2:16" ht="60" x14ac:dyDescent="0.2">
      <c r="B25" s="235"/>
      <c r="C25" s="237"/>
      <c r="D25" s="235"/>
      <c r="E25" s="235"/>
      <c r="F25" s="177" t="s">
        <v>230</v>
      </c>
      <c r="G25" s="177" t="s">
        <v>126</v>
      </c>
      <c r="H25" s="177" t="s">
        <v>231</v>
      </c>
      <c r="I25" s="177" t="s">
        <v>232</v>
      </c>
      <c r="J25" s="177" t="s">
        <v>233</v>
      </c>
      <c r="K25" s="177" t="s">
        <v>126</v>
      </c>
      <c r="L25" s="177" t="s">
        <v>234</v>
      </c>
      <c r="M25" s="177" t="s">
        <v>235</v>
      </c>
      <c r="N25" s="177" t="s">
        <v>230</v>
      </c>
      <c r="O25" s="177" t="s">
        <v>232</v>
      </c>
    </row>
    <row r="26" spans="2:16" x14ac:dyDescent="0.2">
      <c r="B26" s="183">
        <v>1</v>
      </c>
      <c r="C26" s="184" t="s">
        <v>336</v>
      </c>
      <c r="D26" s="184">
        <v>1000</v>
      </c>
      <c r="E26" s="167">
        <v>0</v>
      </c>
      <c r="F26" s="186">
        <f t="shared" ref="F26:F36" si="5">I10</f>
        <v>12.948040599999999</v>
      </c>
      <c r="G26" s="186"/>
      <c r="H26" s="186"/>
      <c r="I26" s="187">
        <f>F26+G26+H26</f>
        <v>12.948040599999999</v>
      </c>
      <c r="J26" s="186">
        <f t="shared" ref="J26:J36" si="6">M10</f>
        <v>0</v>
      </c>
      <c r="K26" s="186">
        <v>0</v>
      </c>
      <c r="L26" s="186"/>
      <c r="M26" s="187">
        <f>J26+K26+L26</f>
        <v>0</v>
      </c>
      <c r="N26" s="186">
        <f>+F26-J26</f>
        <v>12.948040599999999</v>
      </c>
      <c r="O26" s="186">
        <f>+I26-M26</f>
        <v>12.948040599999999</v>
      </c>
    </row>
    <row r="27" spans="2:16" x14ac:dyDescent="0.2">
      <c r="B27" s="183">
        <v>2</v>
      </c>
      <c r="C27" s="184" t="s">
        <v>337</v>
      </c>
      <c r="D27" s="184">
        <v>1100</v>
      </c>
      <c r="E27" s="167"/>
      <c r="F27" s="186">
        <f t="shared" si="5"/>
        <v>27.632209622000005</v>
      </c>
      <c r="G27" s="186"/>
      <c r="H27" s="186"/>
      <c r="I27" s="187">
        <f t="shared" ref="I27:I36" si="7">F27+G27+H27</f>
        <v>27.632209622000005</v>
      </c>
      <c r="J27" s="186">
        <f t="shared" si="6"/>
        <v>7.4831534880000001</v>
      </c>
      <c r="K27" s="186">
        <v>0.80854258300000004</v>
      </c>
      <c r="L27" s="186"/>
      <c r="M27" s="187">
        <f t="shared" ref="M27:M36" si="8">J27+K27+L27</f>
        <v>8.2916960710000005</v>
      </c>
      <c r="N27" s="186">
        <f t="shared" ref="N27:N36" si="9">+F27-J27</f>
        <v>20.149056134000006</v>
      </c>
      <c r="O27" s="186">
        <f t="shared" ref="O27:O36" si="10">+I27-M27</f>
        <v>19.340513551000004</v>
      </c>
    </row>
    <row r="28" spans="2:16" x14ac:dyDescent="0.2">
      <c r="B28" s="183">
        <v>3</v>
      </c>
      <c r="C28" s="184" t="s">
        <v>338</v>
      </c>
      <c r="D28" s="184">
        <v>1200</v>
      </c>
      <c r="E28" s="168"/>
      <c r="F28" s="186">
        <f t="shared" si="5"/>
        <v>21.567265427000002</v>
      </c>
      <c r="G28" s="186"/>
      <c r="H28" s="186"/>
      <c r="I28" s="187">
        <f t="shared" si="7"/>
        <v>21.567265427000002</v>
      </c>
      <c r="J28" s="186">
        <f t="shared" si="6"/>
        <v>9.5876027080000004</v>
      </c>
      <c r="K28" s="186">
        <v>0.56890035000000005</v>
      </c>
      <c r="L28" s="186"/>
      <c r="M28" s="187">
        <f t="shared" si="8"/>
        <v>10.156503058</v>
      </c>
      <c r="N28" s="186">
        <f t="shared" si="9"/>
        <v>11.979662719000002</v>
      </c>
      <c r="O28" s="186">
        <f t="shared" si="10"/>
        <v>11.410762369000002</v>
      </c>
    </row>
    <row r="29" spans="2:16" x14ac:dyDescent="0.2">
      <c r="B29" s="183">
        <v>4</v>
      </c>
      <c r="C29" s="184" t="s">
        <v>339</v>
      </c>
      <c r="D29" s="184">
        <v>1300</v>
      </c>
      <c r="E29" s="168"/>
      <c r="F29" s="186">
        <f t="shared" si="5"/>
        <v>695.47194996799988</v>
      </c>
      <c r="G29" s="186"/>
      <c r="H29" s="186"/>
      <c r="I29" s="187">
        <f t="shared" si="7"/>
        <v>695.47194996799988</v>
      </c>
      <c r="J29" s="186">
        <f t="shared" si="6"/>
        <v>313.65829213899997</v>
      </c>
      <c r="K29" s="186">
        <v>8.4524042759999976</v>
      </c>
      <c r="L29" s="186"/>
      <c r="M29" s="187">
        <f t="shared" si="8"/>
        <v>322.11069641499995</v>
      </c>
      <c r="N29" s="186">
        <f t="shared" si="9"/>
        <v>381.81365782899991</v>
      </c>
      <c r="O29" s="186">
        <f t="shared" si="10"/>
        <v>373.36125355299993</v>
      </c>
    </row>
    <row r="30" spans="2:16" x14ac:dyDescent="0.2">
      <c r="B30" s="183">
        <v>5</v>
      </c>
      <c r="C30" s="184" t="s">
        <v>340</v>
      </c>
      <c r="D30" s="184">
        <v>1500</v>
      </c>
      <c r="E30" s="168"/>
      <c r="F30" s="186">
        <f t="shared" si="5"/>
        <v>244.80122296499999</v>
      </c>
      <c r="G30" s="186"/>
      <c r="H30" s="186"/>
      <c r="I30" s="187">
        <f t="shared" si="7"/>
        <v>244.80122296499999</v>
      </c>
      <c r="J30" s="186">
        <f t="shared" si="6"/>
        <v>84.593414883999998</v>
      </c>
      <c r="K30" s="193">
        <v>4.3283312240000003</v>
      </c>
      <c r="L30" s="186"/>
      <c r="M30" s="187">
        <f t="shared" si="8"/>
        <v>88.921746107999994</v>
      </c>
      <c r="N30" s="186">
        <f t="shared" si="9"/>
        <v>160.207808081</v>
      </c>
      <c r="O30" s="186">
        <f t="shared" si="10"/>
        <v>155.87947685699999</v>
      </c>
    </row>
    <row r="31" spans="2:16" x14ac:dyDescent="0.2">
      <c r="B31" s="183">
        <v>6</v>
      </c>
      <c r="C31" s="184" t="s">
        <v>341</v>
      </c>
      <c r="D31" s="184">
        <v>1600</v>
      </c>
      <c r="E31" s="168"/>
      <c r="F31" s="186">
        <f t="shared" si="5"/>
        <v>641.01979325100001</v>
      </c>
      <c r="G31" s="186"/>
      <c r="H31" s="186"/>
      <c r="I31" s="187">
        <f t="shared" si="7"/>
        <v>641.01979325100001</v>
      </c>
      <c r="J31" s="186">
        <f t="shared" si="6"/>
        <v>222.45024445200008</v>
      </c>
      <c r="K31" s="193">
        <v>12.892507410000004</v>
      </c>
      <c r="L31" s="186"/>
      <c r="M31" s="187">
        <f t="shared" si="8"/>
        <v>235.34275186200009</v>
      </c>
      <c r="N31" s="186">
        <f t="shared" si="9"/>
        <v>418.5695487989999</v>
      </c>
      <c r="O31" s="186">
        <f t="shared" si="10"/>
        <v>405.6770413889999</v>
      </c>
    </row>
    <row r="32" spans="2:16" x14ac:dyDescent="0.2">
      <c r="B32" s="183">
        <v>7</v>
      </c>
      <c r="C32" s="184" t="s">
        <v>342</v>
      </c>
      <c r="D32" s="184">
        <v>1700</v>
      </c>
      <c r="E32" s="168"/>
      <c r="F32" s="186">
        <f t="shared" si="5"/>
        <v>7.6712600000000006E-2</v>
      </c>
      <c r="G32" s="186"/>
      <c r="H32" s="186"/>
      <c r="I32" s="187">
        <f t="shared" si="7"/>
        <v>7.6712600000000006E-2</v>
      </c>
      <c r="J32" s="186">
        <f t="shared" si="6"/>
        <v>6.9041340000000007E-2</v>
      </c>
      <c r="K32" s="193">
        <v>0</v>
      </c>
      <c r="L32" s="186"/>
      <c r="M32" s="187">
        <f t="shared" si="8"/>
        <v>6.9041340000000007E-2</v>
      </c>
      <c r="N32" s="186">
        <f t="shared" si="9"/>
        <v>7.6712599999999992E-3</v>
      </c>
      <c r="O32" s="186">
        <f t="shared" si="10"/>
        <v>7.6712599999999992E-3</v>
      </c>
    </row>
    <row r="33" spans="2:15" x14ac:dyDescent="0.2">
      <c r="B33" s="183">
        <v>8</v>
      </c>
      <c r="C33" s="184" t="s">
        <v>343</v>
      </c>
      <c r="D33" s="184">
        <v>1800</v>
      </c>
      <c r="E33" s="168"/>
      <c r="F33" s="186">
        <f t="shared" si="5"/>
        <v>0.29877994400000002</v>
      </c>
      <c r="G33" s="186"/>
      <c r="H33" s="186"/>
      <c r="I33" s="187">
        <f t="shared" si="7"/>
        <v>0.29877994400000002</v>
      </c>
      <c r="J33" s="186">
        <f t="shared" si="6"/>
        <v>0.22599398700000001</v>
      </c>
      <c r="K33" s="193">
        <v>1.2740049999999999E-2</v>
      </c>
      <c r="L33" s="186"/>
      <c r="M33" s="187">
        <f t="shared" si="8"/>
        <v>0.23873403700000001</v>
      </c>
      <c r="N33" s="186">
        <f t="shared" si="9"/>
        <v>7.2785957000000012E-2</v>
      </c>
      <c r="O33" s="186">
        <f t="shared" si="10"/>
        <v>6.0045907000000009E-2</v>
      </c>
    </row>
    <row r="34" spans="2:15" x14ac:dyDescent="0.2">
      <c r="B34" s="183">
        <v>9</v>
      </c>
      <c r="C34" s="184" t="s">
        <v>309</v>
      </c>
      <c r="D34" s="184">
        <v>1900</v>
      </c>
      <c r="E34" s="168"/>
      <c r="F34" s="186">
        <f t="shared" si="5"/>
        <v>0.194506084</v>
      </c>
      <c r="G34" s="186"/>
      <c r="H34" s="186"/>
      <c r="I34" s="187">
        <f t="shared" si="7"/>
        <v>0.194506084</v>
      </c>
      <c r="J34" s="186">
        <f t="shared" si="6"/>
        <v>0.192923285</v>
      </c>
      <c r="K34" s="193">
        <v>2.4874939000000002E-2</v>
      </c>
      <c r="L34" s="186"/>
      <c r="M34" s="187">
        <f t="shared" si="8"/>
        <v>0.21779822400000001</v>
      </c>
      <c r="N34" s="186">
        <f t="shared" si="9"/>
        <v>1.5827989999999958E-3</v>
      </c>
      <c r="O34" s="186">
        <f t="shared" si="10"/>
        <v>-2.3292140000000017E-2</v>
      </c>
    </row>
    <row r="35" spans="2:15" x14ac:dyDescent="0.2">
      <c r="B35" s="183">
        <v>10</v>
      </c>
      <c r="C35" s="184" t="s">
        <v>344</v>
      </c>
      <c r="D35" s="184">
        <v>2100</v>
      </c>
      <c r="E35" s="168"/>
      <c r="F35" s="186">
        <f t="shared" si="5"/>
        <v>0.211724</v>
      </c>
      <c r="G35" s="186"/>
      <c r="H35" s="186"/>
      <c r="I35" s="187">
        <f t="shared" si="7"/>
        <v>0.211724</v>
      </c>
      <c r="J35" s="186">
        <f t="shared" si="6"/>
        <v>0.18480391699999998</v>
      </c>
      <c r="K35" s="193">
        <v>5.1699167999999997E-2</v>
      </c>
      <c r="L35" s="186"/>
      <c r="M35" s="187">
        <f t="shared" si="8"/>
        <v>0.23650308499999997</v>
      </c>
      <c r="N35" s="186">
        <f t="shared" si="9"/>
        <v>2.6920083000000011E-2</v>
      </c>
      <c r="O35" s="186">
        <f t="shared" si="10"/>
        <v>-2.4779084999999978E-2</v>
      </c>
    </row>
    <row r="36" spans="2:15" x14ac:dyDescent="0.2">
      <c r="B36" s="183">
        <v>11</v>
      </c>
      <c r="C36" s="184" t="s">
        <v>345</v>
      </c>
      <c r="D36" s="184">
        <v>2200</v>
      </c>
      <c r="E36" s="168"/>
      <c r="F36" s="186">
        <f t="shared" si="5"/>
        <v>1.4529800000000001E-2</v>
      </c>
      <c r="G36" s="186"/>
      <c r="H36" s="186"/>
      <c r="I36" s="187">
        <f t="shared" si="7"/>
        <v>1.4529800000000001E-2</v>
      </c>
      <c r="J36" s="186">
        <f t="shared" si="6"/>
        <v>1.4529800000000001E-2</v>
      </c>
      <c r="K36" s="193">
        <v>0</v>
      </c>
      <c r="L36" s="186"/>
      <c r="M36" s="187">
        <f t="shared" si="8"/>
        <v>1.4529800000000001E-2</v>
      </c>
      <c r="N36" s="186">
        <f t="shared" si="9"/>
        <v>0</v>
      </c>
      <c r="O36" s="186">
        <f t="shared" si="10"/>
        <v>0</v>
      </c>
    </row>
    <row r="37" spans="2:15" s="48" customFormat="1" ht="15" x14ac:dyDescent="0.2">
      <c r="B37" s="190"/>
      <c r="C37" s="191" t="s">
        <v>127</v>
      </c>
      <c r="D37" s="191"/>
      <c r="E37" s="192">
        <f>IFERROR((K37-L37)/AVERAGE(F37,I37),0)</f>
        <v>1.6506106164550189E-2</v>
      </c>
      <c r="F37" s="189">
        <f>ROUND(SUM(F26:F36),2)</f>
        <v>1644.24</v>
      </c>
      <c r="G37" s="189">
        <f t="shared" ref="G37:O37" si="11">ROUND(SUM(G26:G36),2)</f>
        <v>0</v>
      </c>
      <c r="H37" s="189">
        <f t="shared" si="11"/>
        <v>0</v>
      </c>
      <c r="I37" s="189">
        <f t="shared" si="11"/>
        <v>1644.24</v>
      </c>
      <c r="J37" s="189">
        <f t="shared" si="11"/>
        <v>638.46</v>
      </c>
      <c r="K37" s="189">
        <f t="shared" si="11"/>
        <v>27.14</v>
      </c>
      <c r="L37" s="189">
        <f t="shared" si="11"/>
        <v>0</v>
      </c>
      <c r="M37" s="189">
        <f t="shared" si="11"/>
        <v>665.6</v>
      </c>
      <c r="N37" s="189">
        <f t="shared" si="11"/>
        <v>1005.78</v>
      </c>
      <c r="O37" s="189">
        <f t="shared" si="11"/>
        <v>978.64</v>
      </c>
    </row>
    <row r="38" spans="2:15" x14ac:dyDescent="0.2">
      <c r="K38" s="146"/>
      <c r="L38" s="146"/>
    </row>
    <row r="39" spans="2:15" ht="15" x14ac:dyDescent="0.2">
      <c r="B39" s="236" t="s">
        <v>332</v>
      </c>
      <c r="C39" s="236"/>
      <c r="D39" s="236"/>
      <c r="E39" s="236"/>
      <c r="F39" s="236"/>
      <c r="G39" s="236"/>
      <c r="H39" s="236"/>
      <c r="I39" s="236"/>
      <c r="J39" s="236"/>
      <c r="K39" s="236"/>
      <c r="L39" s="236"/>
      <c r="M39" s="236"/>
      <c r="N39" s="236"/>
      <c r="O39" s="236"/>
    </row>
    <row r="40" spans="2:15" ht="15" x14ac:dyDescent="0.2">
      <c r="B40" s="235" t="s">
        <v>2</v>
      </c>
      <c r="C40" s="237" t="s">
        <v>236</v>
      </c>
      <c r="D40" s="235" t="s">
        <v>225</v>
      </c>
      <c r="E40" s="235" t="s">
        <v>226</v>
      </c>
      <c r="F40" s="235" t="s">
        <v>227</v>
      </c>
      <c r="G40" s="235"/>
      <c r="H40" s="235"/>
      <c r="I40" s="235"/>
      <c r="J40" s="235" t="s">
        <v>228</v>
      </c>
      <c r="K40" s="235"/>
      <c r="L40" s="235"/>
      <c r="M40" s="235"/>
      <c r="N40" s="235" t="s">
        <v>229</v>
      </c>
      <c r="O40" s="235"/>
    </row>
    <row r="41" spans="2:15" ht="60" x14ac:dyDescent="0.2">
      <c r="B41" s="235"/>
      <c r="C41" s="237"/>
      <c r="D41" s="235"/>
      <c r="E41" s="235"/>
      <c r="F41" s="177" t="s">
        <v>230</v>
      </c>
      <c r="G41" s="177" t="s">
        <v>126</v>
      </c>
      <c r="H41" s="177" t="s">
        <v>231</v>
      </c>
      <c r="I41" s="177" t="s">
        <v>232</v>
      </c>
      <c r="J41" s="177" t="s">
        <v>233</v>
      </c>
      <c r="K41" s="177" t="s">
        <v>126</v>
      </c>
      <c r="L41" s="177" t="s">
        <v>234</v>
      </c>
      <c r="M41" s="177" t="s">
        <v>235</v>
      </c>
      <c r="N41" s="177" t="s">
        <v>230</v>
      </c>
      <c r="O41" s="177" t="s">
        <v>232</v>
      </c>
    </row>
    <row r="42" spans="2:15" x14ac:dyDescent="0.2">
      <c r="B42" s="183">
        <v>1</v>
      </c>
      <c r="C42" s="184" t="s">
        <v>336</v>
      </c>
      <c r="D42" s="184">
        <v>1000</v>
      </c>
      <c r="E42" s="167">
        <v>0</v>
      </c>
      <c r="F42" s="186">
        <f t="shared" ref="F42:F52" si="12">I26</f>
        <v>12.948040599999999</v>
      </c>
      <c r="G42" s="186"/>
      <c r="H42" s="186"/>
      <c r="I42" s="187">
        <f>F42+G42+H42</f>
        <v>12.948040599999999</v>
      </c>
      <c r="J42" s="186">
        <f t="shared" ref="J42:J52" si="13">M26</f>
        <v>0</v>
      </c>
      <c r="K42" s="186">
        <v>0</v>
      </c>
      <c r="L42" s="186"/>
      <c r="M42" s="187">
        <f>J42+K42+L42</f>
        <v>0</v>
      </c>
      <c r="N42" s="186">
        <f>+F42-J42</f>
        <v>12.948040599999999</v>
      </c>
      <c r="O42" s="186">
        <f>+I42-M42</f>
        <v>12.948040599999999</v>
      </c>
    </row>
    <row r="43" spans="2:15" x14ac:dyDescent="0.2">
      <c r="B43" s="183">
        <v>2</v>
      </c>
      <c r="C43" s="184" t="s">
        <v>337</v>
      </c>
      <c r="D43" s="184">
        <v>1100</v>
      </c>
      <c r="E43" s="167"/>
      <c r="F43" s="186">
        <f t="shared" si="12"/>
        <v>27.632209622000005</v>
      </c>
      <c r="G43" s="186"/>
      <c r="H43" s="186"/>
      <c r="I43" s="187">
        <f t="shared" ref="I43:I52" si="14">F43+G43+H43</f>
        <v>27.632209622000005</v>
      </c>
      <c r="J43" s="186">
        <f t="shared" si="13"/>
        <v>8.2916960710000005</v>
      </c>
      <c r="K43" s="186">
        <v>0.80854258300000004</v>
      </c>
      <c r="L43" s="186"/>
      <c r="M43" s="187">
        <f t="shared" ref="M43:M52" si="15">J43+K43+L43</f>
        <v>9.100238654</v>
      </c>
      <c r="N43" s="186">
        <f t="shared" ref="N43:N52" si="16">+F43-J43</f>
        <v>19.340513551000004</v>
      </c>
      <c r="O43" s="186">
        <f t="shared" ref="O43:O52" si="17">+I43-M43</f>
        <v>18.531970968000003</v>
      </c>
    </row>
    <row r="44" spans="2:15" x14ac:dyDescent="0.2">
      <c r="B44" s="183">
        <v>3</v>
      </c>
      <c r="C44" s="184" t="s">
        <v>338</v>
      </c>
      <c r="D44" s="184">
        <v>1200</v>
      </c>
      <c r="E44" s="168"/>
      <c r="F44" s="186">
        <f t="shared" si="12"/>
        <v>21.567265427000002</v>
      </c>
      <c r="G44" s="186"/>
      <c r="H44" s="186"/>
      <c r="I44" s="187">
        <f t="shared" si="14"/>
        <v>21.567265427000002</v>
      </c>
      <c r="J44" s="186">
        <f t="shared" si="13"/>
        <v>10.156503058</v>
      </c>
      <c r="K44" s="186">
        <v>0.56890035000000005</v>
      </c>
      <c r="L44" s="186"/>
      <c r="M44" s="187">
        <f t="shared" si="15"/>
        <v>10.725403408</v>
      </c>
      <c r="N44" s="186">
        <f t="shared" si="16"/>
        <v>11.410762369000002</v>
      </c>
      <c r="O44" s="186">
        <f t="shared" si="17"/>
        <v>10.841862019000002</v>
      </c>
    </row>
    <row r="45" spans="2:15" x14ac:dyDescent="0.2">
      <c r="B45" s="183">
        <v>4</v>
      </c>
      <c r="C45" s="184" t="s">
        <v>339</v>
      </c>
      <c r="D45" s="184">
        <v>1300</v>
      </c>
      <c r="E45" s="168"/>
      <c r="F45" s="186">
        <f t="shared" si="12"/>
        <v>695.47194996799988</v>
      </c>
      <c r="G45" s="186"/>
      <c r="H45" s="186"/>
      <c r="I45" s="187">
        <f t="shared" si="14"/>
        <v>695.47194996799988</v>
      </c>
      <c r="J45" s="186">
        <f t="shared" si="13"/>
        <v>322.11069641499995</v>
      </c>
      <c r="K45" s="186">
        <v>8.3324042760000001</v>
      </c>
      <c r="L45" s="186"/>
      <c r="M45" s="187">
        <f t="shared" si="15"/>
        <v>330.44310069099993</v>
      </c>
      <c r="N45" s="186">
        <f t="shared" si="16"/>
        <v>373.36125355299993</v>
      </c>
      <c r="O45" s="186">
        <f t="shared" si="17"/>
        <v>365.02884927699995</v>
      </c>
    </row>
    <row r="46" spans="2:15" x14ac:dyDescent="0.2">
      <c r="B46" s="183">
        <v>5</v>
      </c>
      <c r="C46" s="184" t="s">
        <v>340</v>
      </c>
      <c r="D46" s="184">
        <v>1500</v>
      </c>
      <c r="E46" s="168"/>
      <c r="F46" s="186">
        <f t="shared" si="12"/>
        <v>244.80122296499999</v>
      </c>
      <c r="G46" s="186"/>
      <c r="H46" s="186"/>
      <c r="I46" s="187">
        <f t="shared" si="14"/>
        <v>244.80122296499999</v>
      </c>
      <c r="J46" s="186">
        <f t="shared" si="13"/>
        <v>88.921746107999994</v>
      </c>
      <c r="K46" s="193">
        <v>4.3283312240000003</v>
      </c>
      <c r="L46" s="186"/>
      <c r="M46" s="187">
        <f t="shared" si="15"/>
        <v>93.250077331999989</v>
      </c>
      <c r="N46" s="186">
        <f t="shared" si="16"/>
        <v>155.87947685699999</v>
      </c>
      <c r="O46" s="186">
        <f t="shared" si="17"/>
        <v>151.551145633</v>
      </c>
    </row>
    <row r="47" spans="2:15" x14ac:dyDescent="0.2">
      <c r="B47" s="183">
        <v>6</v>
      </c>
      <c r="C47" s="184" t="s">
        <v>341</v>
      </c>
      <c r="D47" s="184">
        <v>1600</v>
      </c>
      <c r="E47" s="168"/>
      <c r="F47" s="186">
        <f t="shared" si="12"/>
        <v>641.01979325100001</v>
      </c>
      <c r="G47" s="186">
        <v>12.6</v>
      </c>
      <c r="H47" s="186"/>
      <c r="I47" s="187">
        <f t="shared" si="14"/>
        <v>653.61979325100003</v>
      </c>
      <c r="J47" s="186">
        <f t="shared" si="13"/>
        <v>235.34275186200009</v>
      </c>
      <c r="K47" s="193">
        <v>13.202507409999999</v>
      </c>
      <c r="L47" s="186"/>
      <c r="M47" s="187">
        <f t="shared" si="15"/>
        <v>248.5452592720001</v>
      </c>
      <c r="N47" s="186">
        <f t="shared" si="16"/>
        <v>405.6770413889999</v>
      </c>
      <c r="O47" s="186">
        <f t="shared" si="17"/>
        <v>405.07453397899997</v>
      </c>
    </row>
    <row r="48" spans="2:15" x14ac:dyDescent="0.2">
      <c r="B48" s="183">
        <v>7</v>
      </c>
      <c r="C48" s="184" t="s">
        <v>342</v>
      </c>
      <c r="D48" s="184">
        <v>1700</v>
      </c>
      <c r="E48" s="168"/>
      <c r="F48" s="186">
        <f t="shared" si="12"/>
        <v>7.6712600000000006E-2</v>
      </c>
      <c r="G48" s="186"/>
      <c r="H48" s="186"/>
      <c r="I48" s="187">
        <f t="shared" si="14"/>
        <v>7.6712600000000006E-2</v>
      </c>
      <c r="J48" s="186">
        <f t="shared" si="13"/>
        <v>6.9041340000000007E-2</v>
      </c>
      <c r="K48" s="193">
        <v>0</v>
      </c>
      <c r="L48" s="186"/>
      <c r="M48" s="187">
        <f t="shared" si="15"/>
        <v>6.9041340000000007E-2</v>
      </c>
      <c r="N48" s="186">
        <f t="shared" si="16"/>
        <v>7.6712599999999992E-3</v>
      </c>
      <c r="O48" s="186">
        <f t="shared" si="17"/>
        <v>7.6712599999999992E-3</v>
      </c>
    </row>
    <row r="49" spans="2:15" x14ac:dyDescent="0.2">
      <c r="B49" s="183">
        <v>8</v>
      </c>
      <c r="C49" s="184" t="s">
        <v>343</v>
      </c>
      <c r="D49" s="184">
        <v>1800</v>
      </c>
      <c r="E49" s="168"/>
      <c r="F49" s="186">
        <f t="shared" si="12"/>
        <v>0.29877994400000002</v>
      </c>
      <c r="G49" s="186"/>
      <c r="H49" s="186"/>
      <c r="I49" s="187">
        <f t="shared" si="14"/>
        <v>0.29877994400000002</v>
      </c>
      <c r="J49" s="186">
        <f t="shared" si="13"/>
        <v>0.23873403700000001</v>
      </c>
      <c r="K49" s="193">
        <v>1.2740049999999999E-2</v>
      </c>
      <c r="L49" s="186"/>
      <c r="M49" s="187">
        <f t="shared" si="15"/>
        <v>0.25147408700000001</v>
      </c>
      <c r="N49" s="186">
        <f t="shared" si="16"/>
        <v>6.0045907000000009E-2</v>
      </c>
      <c r="O49" s="186">
        <f t="shared" si="17"/>
        <v>4.7305857000000007E-2</v>
      </c>
    </row>
    <row r="50" spans="2:15" x14ac:dyDescent="0.2">
      <c r="B50" s="183">
        <v>9</v>
      </c>
      <c r="C50" s="184" t="s">
        <v>309</v>
      </c>
      <c r="D50" s="184">
        <v>1900</v>
      </c>
      <c r="E50" s="168"/>
      <c r="F50" s="186">
        <f t="shared" si="12"/>
        <v>0.194506084</v>
      </c>
      <c r="G50" s="186"/>
      <c r="H50" s="186"/>
      <c r="I50" s="187">
        <f t="shared" si="14"/>
        <v>0.194506084</v>
      </c>
      <c r="J50" s="186">
        <f t="shared" si="13"/>
        <v>0.21779822400000001</v>
      </c>
      <c r="K50" s="193">
        <v>2.4874939000000002E-2</v>
      </c>
      <c r="L50" s="186"/>
      <c r="M50" s="187">
        <f t="shared" si="15"/>
        <v>0.24267316300000003</v>
      </c>
      <c r="N50" s="186">
        <f t="shared" si="16"/>
        <v>-2.3292140000000017E-2</v>
      </c>
      <c r="O50" s="186">
        <f t="shared" si="17"/>
        <v>-4.8167079000000029E-2</v>
      </c>
    </row>
    <row r="51" spans="2:15" x14ac:dyDescent="0.2">
      <c r="B51" s="183">
        <v>10</v>
      </c>
      <c r="C51" s="184" t="s">
        <v>344</v>
      </c>
      <c r="D51" s="184">
        <v>2100</v>
      </c>
      <c r="E51" s="168"/>
      <c r="F51" s="186">
        <f t="shared" si="12"/>
        <v>0.211724</v>
      </c>
      <c r="G51" s="186"/>
      <c r="H51" s="186"/>
      <c r="I51" s="187">
        <f t="shared" si="14"/>
        <v>0.211724</v>
      </c>
      <c r="J51" s="186">
        <f t="shared" si="13"/>
        <v>0.23650308499999997</v>
      </c>
      <c r="K51" s="193">
        <v>5.1699167999999997E-2</v>
      </c>
      <c r="L51" s="186"/>
      <c r="M51" s="187">
        <f t="shared" si="15"/>
        <v>0.28820225299999996</v>
      </c>
      <c r="N51" s="186">
        <f t="shared" si="16"/>
        <v>-2.4779084999999978E-2</v>
      </c>
      <c r="O51" s="186">
        <f t="shared" si="17"/>
        <v>-7.6478252999999968E-2</v>
      </c>
    </row>
    <row r="52" spans="2:15" x14ac:dyDescent="0.2">
      <c r="B52" s="183">
        <v>11</v>
      </c>
      <c r="C52" s="184" t="s">
        <v>345</v>
      </c>
      <c r="D52" s="184">
        <v>2200</v>
      </c>
      <c r="E52" s="168"/>
      <c r="F52" s="186">
        <f t="shared" si="12"/>
        <v>1.4529800000000001E-2</v>
      </c>
      <c r="G52" s="186"/>
      <c r="H52" s="186"/>
      <c r="I52" s="187">
        <f t="shared" si="14"/>
        <v>1.4529800000000001E-2</v>
      </c>
      <c r="J52" s="186">
        <f t="shared" si="13"/>
        <v>1.4529800000000001E-2</v>
      </c>
      <c r="K52" s="193">
        <v>0</v>
      </c>
      <c r="L52" s="186"/>
      <c r="M52" s="187">
        <f t="shared" si="15"/>
        <v>1.4529800000000001E-2</v>
      </c>
      <c r="N52" s="186">
        <f t="shared" si="16"/>
        <v>0</v>
      </c>
      <c r="O52" s="186">
        <f t="shared" si="17"/>
        <v>0</v>
      </c>
    </row>
    <row r="53" spans="2:15" s="48" customFormat="1" ht="15" x14ac:dyDescent="0.2">
      <c r="B53" s="190"/>
      <c r="C53" s="191" t="s">
        <v>127</v>
      </c>
      <c r="D53" s="191"/>
      <c r="E53" s="192">
        <f>IFERROR((K53-L53)/AVERAGE(F53,I53),0)</f>
        <v>1.6558217310698318E-2</v>
      </c>
      <c r="F53" s="189">
        <f>ROUND(SUM(F42:F52),2)</f>
        <v>1644.24</v>
      </c>
      <c r="G53" s="189">
        <f t="shared" ref="G53:O53" si="18">ROUND(SUM(G42:G52),2)</f>
        <v>12.6</v>
      </c>
      <c r="H53" s="189">
        <f t="shared" si="18"/>
        <v>0</v>
      </c>
      <c r="I53" s="189">
        <f t="shared" si="18"/>
        <v>1656.84</v>
      </c>
      <c r="J53" s="189">
        <f t="shared" si="18"/>
        <v>665.6</v>
      </c>
      <c r="K53" s="189">
        <f t="shared" si="18"/>
        <v>27.33</v>
      </c>
      <c r="L53" s="189">
        <f t="shared" si="18"/>
        <v>0</v>
      </c>
      <c r="M53" s="189">
        <f t="shared" si="18"/>
        <v>692.93</v>
      </c>
      <c r="N53" s="189">
        <f t="shared" si="18"/>
        <v>978.64</v>
      </c>
      <c r="O53" s="189">
        <f t="shared" si="18"/>
        <v>963.91</v>
      </c>
    </row>
    <row r="54" spans="2:15" x14ac:dyDescent="0.2">
      <c r="K54" s="146"/>
    </row>
    <row r="55" spans="2:15" x14ac:dyDescent="0.2">
      <c r="K55" s="146"/>
    </row>
  </sheetData>
  <mergeCells count="24">
    <mergeCell ref="B39:O39"/>
    <mergeCell ref="B40:B41"/>
    <mergeCell ref="C40:C41"/>
    <mergeCell ref="D40:D41"/>
    <mergeCell ref="E40:E41"/>
    <mergeCell ref="F40:I40"/>
    <mergeCell ref="J40:M40"/>
    <mergeCell ref="N40:O40"/>
    <mergeCell ref="B23:O23"/>
    <mergeCell ref="B24:B25"/>
    <mergeCell ref="C24:C25"/>
    <mergeCell ref="D24:D25"/>
    <mergeCell ref="E24:E25"/>
    <mergeCell ref="F24:I24"/>
    <mergeCell ref="J24:M24"/>
    <mergeCell ref="N24:O24"/>
    <mergeCell ref="J8:M8"/>
    <mergeCell ref="N8:O8"/>
    <mergeCell ref="B7:O7"/>
    <mergeCell ref="B8:B9"/>
    <mergeCell ref="C8:C9"/>
    <mergeCell ref="D8:D9"/>
    <mergeCell ref="E8:E9"/>
    <mergeCell ref="F8:I8"/>
  </mergeCells>
  <pageMargins left="0.27" right="0.25" top="0.25" bottom="0.25" header="0.25" footer="0.25"/>
  <pageSetup paperSize="9" scale="80" fitToHeight="0" orientation="landscape" r:id="rId1"/>
  <headerFooter alignWithMargins="0"/>
  <rowBreaks count="1" manualBreakCount="1">
    <brk id="2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9"/>
  <sheetViews>
    <sheetView topLeftCell="A11" zoomScale="98" zoomScaleNormal="98" zoomScaleSheetLayoutView="90" workbookViewId="0">
      <selection activeCell="H35" sqref="H35"/>
    </sheetView>
  </sheetViews>
  <sheetFormatPr defaultColWidth="9.28515625" defaultRowHeight="14.25" x14ac:dyDescent="0.2"/>
  <cols>
    <col min="1" max="1" width="2.7109375" style="5" customWidth="1"/>
    <col min="2" max="2" width="6.28515625" style="5" customWidth="1"/>
    <col min="3" max="3" width="56.710937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3" width="11.7109375" style="5" bestFit="1" customWidth="1"/>
    <col min="14" max="16384" width="9.28515625" style="5"/>
  </cols>
  <sheetData>
    <row r="1" spans="2:10" ht="15" x14ac:dyDescent="0.2">
      <c r="B1" s="24"/>
    </row>
    <row r="2" spans="2:10" ht="15" x14ac:dyDescent="0.2">
      <c r="E2" s="32" t="s">
        <v>304</v>
      </c>
    </row>
    <row r="3" spans="2:10" ht="15" x14ac:dyDescent="0.2">
      <c r="E3" s="32" t="str">
        <f>'F1'!$F$3</f>
        <v>Lower Jurala HES</v>
      </c>
    </row>
    <row r="4" spans="2:10" ht="15" x14ac:dyDescent="0.2">
      <c r="E4" s="35" t="s">
        <v>245</v>
      </c>
    </row>
    <row r="5" spans="2:10" ht="15" x14ac:dyDescent="0.2">
      <c r="B5" s="33" t="s">
        <v>45</v>
      </c>
      <c r="C5" s="24" t="s">
        <v>246</v>
      </c>
      <c r="J5" s="26" t="s">
        <v>4</v>
      </c>
    </row>
    <row r="6" spans="2:10" s="13" customFormat="1" ht="15" customHeight="1" x14ac:dyDescent="0.2">
      <c r="B6" s="217" t="s">
        <v>169</v>
      </c>
      <c r="C6" s="220" t="s">
        <v>18</v>
      </c>
      <c r="D6" s="224" t="s">
        <v>305</v>
      </c>
      <c r="E6" s="225"/>
      <c r="F6" s="226"/>
      <c r="G6" s="222" t="s">
        <v>306</v>
      </c>
      <c r="H6" s="222"/>
      <c r="I6" s="238" t="s">
        <v>332</v>
      </c>
      <c r="J6" s="239"/>
    </row>
    <row r="7" spans="2:10" s="13" customFormat="1" ht="45" x14ac:dyDescent="0.2">
      <c r="B7" s="218"/>
      <c r="C7" s="220"/>
      <c r="D7" s="15" t="s">
        <v>277</v>
      </c>
      <c r="E7" s="15" t="s">
        <v>212</v>
      </c>
      <c r="F7" s="15" t="s">
        <v>183</v>
      </c>
      <c r="G7" s="15" t="s">
        <v>277</v>
      </c>
      <c r="H7" s="15" t="s">
        <v>211</v>
      </c>
      <c r="I7" s="15" t="s">
        <v>277</v>
      </c>
      <c r="J7" s="15" t="s">
        <v>211</v>
      </c>
    </row>
    <row r="8" spans="2:10" s="13" customFormat="1" ht="30" x14ac:dyDescent="0.2">
      <c r="B8" s="219"/>
      <c r="C8" s="221"/>
      <c r="D8" s="15" t="s">
        <v>10</v>
      </c>
      <c r="E8" s="15" t="s">
        <v>12</v>
      </c>
      <c r="F8" s="15" t="s">
        <v>203</v>
      </c>
      <c r="G8" s="15" t="s">
        <v>10</v>
      </c>
      <c r="H8" s="15" t="s">
        <v>328</v>
      </c>
      <c r="I8" s="15" t="s">
        <v>10</v>
      </c>
      <c r="J8" s="15" t="s">
        <v>328</v>
      </c>
    </row>
    <row r="9" spans="2:10" x14ac:dyDescent="0.2">
      <c r="B9" s="61">
        <v>1</v>
      </c>
      <c r="C9" s="27" t="s">
        <v>153</v>
      </c>
      <c r="D9" s="2"/>
      <c r="E9" s="110">
        <f>'F4'!F21*70%</f>
        <v>1145.0669999999998</v>
      </c>
      <c r="F9" s="110">
        <f>E9</f>
        <v>1145.0669999999998</v>
      </c>
      <c r="G9" s="21"/>
      <c r="H9" s="103">
        <f>E9+E13</f>
        <v>1151.3894999999998</v>
      </c>
      <c r="I9" s="21"/>
      <c r="J9" s="103">
        <f>H9+H13</f>
        <v>1151.3894999999998</v>
      </c>
    </row>
    <row r="10" spans="2:10" x14ac:dyDescent="0.2">
      <c r="B10" s="20">
        <f>B9+1</f>
        <v>2</v>
      </c>
      <c r="C10" s="27" t="s">
        <v>154</v>
      </c>
      <c r="D10" s="2"/>
      <c r="E10" s="110">
        <f>'F4'!J21</f>
        <v>611.44000000000005</v>
      </c>
      <c r="F10" s="110">
        <f>E10</f>
        <v>611.44000000000005</v>
      </c>
      <c r="G10" s="103"/>
      <c r="H10" s="103">
        <f>F10+F14</f>
        <v>638.46</v>
      </c>
      <c r="I10" s="21"/>
      <c r="J10" s="103">
        <f>H10+H14</f>
        <v>665.6</v>
      </c>
    </row>
    <row r="11" spans="2:10" ht="15" x14ac:dyDescent="0.2">
      <c r="B11" s="20">
        <f t="shared" ref="B11:B21" si="0">B10+1</f>
        <v>3</v>
      </c>
      <c r="C11" s="29" t="s">
        <v>155</v>
      </c>
      <c r="D11" s="107">
        <f>D9-D10</f>
        <v>0</v>
      </c>
      <c r="E11" s="107">
        <f>IF((E9-E10)&lt;0,0,(E9-E10))</f>
        <v>533.62699999999973</v>
      </c>
      <c r="F11" s="107">
        <f>IF((F9-F10)&lt;0,0,(F9-F10))</f>
        <v>533.62699999999973</v>
      </c>
      <c r="G11" s="107">
        <f>IF((G9-G10)&lt;0,0,(G9-G10))</f>
        <v>0</v>
      </c>
      <c r="H11" s="107">
        <f>IF((H9-H10)&lt;0,0,(H9-H10))</f>
        <v>512.92949999999973</v>
      </c>
      <c r="I11" s="107"/>
      <c r="J11" s="107">
        <f>IF((J9-J10)&lt;0,0,(J9-J10))</f>
        <v>485.78949999999975</v>
      </c>
    </row>
    <row r="12" spans="2:10" ht="28.5" x14ac:dyDescent="0.2">
      <c r="B12" s="20">
        <f t="shared" si="0"/>
        <v>4</v>
      </c>
      <c r="C12" s="66" t="s">
        <v>156</v>
      </c>
      <c r="D12" s="109"/>
      <c r="E12" s="109"/>
      <c r="F12" s="109"/>
      <c r="G12" s="109"/>
      <c r="H12" s="109"/>
      <c r="I12" s="109"/>
      <c r="J12" s="109"/>
    </row>
    <row r="13" spans="2:10" s="32" customFormat="1" ht="28.5" x14ac:dyDescent="0.2">
      <c r="B13" s="20">
        <f t="shared" si="0"/>
        <v>5</v>
      </c>
      <c r="C13" s="37" t="s">
        <v>301</v>
      </c>
      <c r="D13" s="109"/>
      <c r="E13" s="115">
        <f>'F3'!E12*75%</f>
        <v>6.3224999999999998</v>
      </c>
      <c r="F13" s="115">
        <f>'F3'!F12*75%</f>
        <v>6.3224999999999998</v>
      </c>
      <c r="G13" s="115">
        <f>'F3'!G12*75%</f>
        <v>0</v>
      </c>
      <c r="H13" s="115">
        <f>'F3'!H12*75%</f>
        <v>0</v>
      </c>
      <c r="I13" s="115">
        <f>'F3'!I12*75%</f>
        <v>0</v>
      </c>
      <c r="J13" s="115">
        <f>'F3'!J12*75%</f>
        <v>9.4499999999999993</v>
      </c>
    </row>
    <row r="14" spans="2:10" x14ac:dyDescent="0.2">
      <c r="B14" s="20">
        <f t="shared" si="0"/>
        <v>6</v>
      </c>
      <c r="C14" s="66" t="s">
        <v>161</v>
      </c>
      <c r="D14" s="123"/>
      <c r="E14" s="123">
        <f>'F1'!G11</f>
        <v>27.02</v>
      </c>
      <c r="F14" s="123">
        <f>'F1'!H11</f>
        <v>27.02</v>
      </c>
      <c r="G14" s="123">
        <f>'F1'!I11</f>
        <v>51.47</v>
      </c>
      <c r="H14" s="123">
        <f>'F1'!J11</f>
        <v>27.14</v>
      </c>
      <c r="I14" s="123">
        <f>'F1'!K11</f>
        <v>51.47</v>
      </c>
      <c r="J14" s="123">
        <f>'F1'!L11</f>
        <v>27.33</v>
      </c>
    </row>
    <row r="15" spans="2:10" ht="15" x14ac:dyDescent="0.2">
      <c r="B15" s="20">
        <f t="shared" si="0"/>
        <v>7</v>
      </c>
      <c r="C15" s="27" t="s">
        <v>157</v>
      </c>
      <c r="D15" s="107"/>
      <c r="E15" s="107">
        <f>IF((E11-E12+E13-E14)&lt;0,0,(E11-E12+E13-E14))</f>
        <v>512.92949999999973</v>
      </c>
      <c r="F15" s="107">
        <f>IF((F11-F12+F13-F14)&lt;0,0,(F11-F12+F13-F14))</f>
        <v>512.92949999999973</v>
      </c>
      <c r="G15" s="107"/>
      <c r="H15" s="107">
        <f>IF((H11-H12+H13-H14)&lt;0,0,(H11-H12+H13-H14))</f>
        <v>485.78949999999975</v>
      </c>
      <c r="I15" s="107"/>
      <c r="J15" s="107">
        <f>IF((J11-J12+J13-J14)&lt;0,0,(J11-J12+J13-J14))</f>
        <v>467.90949999999975</v>
      </c>
    </row>
    <row r="16" spans="2:10" ht="15" x14ac:dyDescent="0.2">
      <c r="B16" s="20">
        <f t="shared" si="0"/>
        <v>8</v>
      </c>
      <c r="C16" s="27" t="s">
        <v>158</v>
      </c>
      <c r="D16" s="107"/>
      <c r="E16" s="107">
        <f t="shared" ref="E16:J16" si="1">E9-E12+E13-E14</f>
        <v>1124.3694999999998</v>
      </c>
      <c r="F16" s="107">
        <f t="shared" si="1"/>
        <v>1124.3694999999998</v>
      </c>
      <c r="G16" s="107"/>
      <c r="H16" s="107">
        <f t="shared" si="1"/>
        <v>1124.2494999999997</v>
      </c>
      <c r="I16" s="107"/>
      <c r="J16" s="107">
        <f t="shared" si="1"/>
        <v>1133.5094999999999</v>
      </c>
    </row>
    <row r="17" spans="2:10" ht="15" x14ac:dyDescent="0.2">
      <c r="B17" s="20">
        <f t="shared" si="0"/>
        <v>9</v>
      </c>
      <c r="C17" s="27" t="s">
        <v>187</v>
      </c>
      <c r="D17" s="107"/>
      <c r="E17" s="107">
        <f t="shared" ref="E17:J17" si="2">AVERAGE(E11,E15)</f>
        <v>523.27824999999973</v>
      </c>
      <c r="F17" s="107">
        <f t="shared" si="2"/>
        <v>523.27824999999973</v>
      </c>
      <c r="G17" s="107"/>
      <c r="H17" s="107">
        <f t="shared" si="2"/>
        <v>499.35949999999974</v>
      </c>
      <c r="I17" s="107"/>
      <c r="J17" s="107">
        <f t="shared" si="2"/>
        <v>476.84949999999975</v>
      </c>
    </row>
    <row r="18" spans="2:10" x14ac:dyDescent="0.2">
      <c r="B18" s="20">
        <f t="shared" si="0"/>
        <v>10</v>
      </c>
      <c r="C18" s="66" t="s">
        <v>186</v>
      </c>
      <c r="D18" s="108"/>
      <c r="E18" s="108">
        <v>9.9500000000000005E-2</v>
      </c>
      <c r="F18" s="108">
        <f>E18</f>
        <v>9.9500000000000005E-2</v>
      </c>
      <c r="G18" s="108"/>
      <c r="H18" s="108">
        <v>0.10199999999999999</v>
      </c>
      <c r="I18" s="108"/>
      <c r="J18" s="108">
        <v>0.10199999999999999</v>
      </c>
    </row>
    <row r="19" spans="2:10" ht="15" x14ac:dyDescent="0.2">
      <c r="B19" s="20">
        <f t="shared" si="0"/>
        <v>11</v>
      </c>
      <c r="C19" s="27" t="s">
        <v>247</v>
      </c>
      <c r="D19" s="107">
        <f>D17*D18</f>
        <v>0</v>
      </c>
      <c r="E19" s="107">
        <f>ROUND(E17*E18,2)</f>
        <v>52.07</v>
      </c>
      <c r="F19" s="107">
        <f>ROUND(F17*F18,2)</f>
        <v>52.07</v>
      </c>
      <c r="G19" s="107">
        <f>G17*G18</f>
        <v>0</v>
      </c>
      <c r="H19" s="107">
        <f>ROUND(H17*H18,2)</f>
        <v>50.93</v>
      </c>
      <c r="I19" s="107"/>
      <c r="J19" s="107">
        <f>ROUND(J17*J18,2)</f>
        <v>48.64</v>
      </c>
    </row>
    <row r="20" spans="2:10" x14ac:dyDescent="0.2">
      <c r="B20" s="20">
        <f t="shared" si="0"/>
        <v>12</v>
      </c>
      <c r="C20" s="27" t="s">
        <v>249</v>
      </c>
      <c r="D20" s="67"/>
      <c r="E20" s="67"/>
      <c r="F20" s="67"/>
      <c r="G20" s="67"/>
      <c r="H20" s="67"/>
      <c r="I20" s="67"/>
      <c r="J20" s="67"/>
    </row>
    <row r="21" spans="2:10" ht="15" x14ac:dyDescent="0.2">
      <c r="B21" s="20">
        <f t="shared" si="0"/>
        <v>13</v>
      </c>
      <c r="C21" s="27" t="s">
        <v>250</v>
      </c>
      <c r="D21" s="107">
        <v>46.89</v>
      </c>
      <c r="E21" s="107">
        <f>IF((E19+E20)&lt;0,0,(E19+E20))</f>
        <v>52.07</v>
      </c>
      <c r="F21" s="107">
        <f>IF((F19+F20)&lt;0,0,(F19+F20))</f>
        <v>52.07</v>
      </c>
      <c r="G21" s="107">
        <v>42.03</v>
      </c>
      <c r="H21" s="107">
        <f>IF((H19+H20)&lt;0,0,(H19+H20))</f>
        <v>50.93</v>
      </c>
      <c r="I21" s="107">
        <v>36.79</v>
      </c>
      <c r="J21" s="107">
        <f>IF((J19+J20)&lt;0,0,(J19+J20))</f>
        <v>48.64</v>
      </c>
    </row>
    <row r="22" spans="2:10" x14ac:dyDescent="0.2">
      <c r="B22" s="34"/>
      <c r="C22" s="5" t="s">
        <v>214</v>
      </c>
    </row>
    <row r="23" spans="2:10" x14ac:dyDescent="0.2">
      <c r="C23" s="5" t="s">
        <v>302</v>
      </c>
    </row>
    <row r="25" spans="2:10" ht="15" x14ac:dyDescent="0.2">
      <c r="B25" s="33" t="s">
        <v>50</v>
      </c>
      <c r="C25" s="24" t="s">
        <v>248</v>
      </c>
    </row>
    <row r="27" spans="2:10" ht="15" customHeight="1" x14ac:dyDescent="0.2">
      <c r="B27" s="217" t="s">
        <v>169</v>
      </c>
      <c r="C27" s="220" t="s">
        <v>18</v>
      </c>
      <c r="D27" s="65" t="s">
        <v>305</v>
      </c>
      <c r="E27" s="65" t="s">
        <v>306</v>
      </c>
      <c r="F27" s="15" t="s">
        <v>332</v>
      </c>
    </row>
    <row r="28" spans="2:10" ht="15" x14ac:dyDescent="0.2">
      <c r="B28" s="218"/>
      <c r="C28" s="220"/>
      <c r="D28" s="15" t="s">
        <v>212</v>
      </c>
      <c r="E28" s="15" t="s">
        <v>211</v>
      </c>
      <c r="F28" s="15" t="s">
        <v>211</v>
      </c>
    </row>
    <row r="29" spans="2:10" ht="15" x14ac:dyDescent="0.2">
      <c r="B29" s="219"/>
      <c r="C29" s="221"/>
      <c r="D29" s="15" t="s">
        <v>12</v>
      </c>
      <c r="E29" s="15" t="s">
        <v>5</v>
      </c>
      <c r="F29" s="15" t="s">
        <v>8</v>
      </c>
    </row>
    <row r="30" spans="2:10" ht="15" x14ac:dyDescent="0.2">
      <c r="B30" s="20">
        <v>1</v>
      </c>
      <c r="C30" s="195" t="s">
        <v>349</v>
      </c>
      <c r="D30" s="27"/>
      <c r="E30" s="27"/>
      <c r="F30" s="27"/>
    </row>
    <row r="31" spans="2:10" x14ac:dyDescent="0.2">
      <c r="B31" s="27"/>
      <c r="C31" s="27" t="s">
        <v>13</v>
      </c>
      <c r="D31" s="196">
        <v>762.31</v>
      </c>
      <c r="E31" s="196">
        <f>D34</f>
        <v>703.67</v>
      </c>
      <c r="F31" s="196">
        <f>E34</f>
        <v>645.03</v>
      </c>
    </row>
    <row r="32" spans="2:10" x14ac:dyDescent="0.2">
      <c r="B32" s="27"/>
      <c r="C32" s="27" t="s">
        <v>149</v>
      </c>
      <c r="D32" s="196">
        <v>0</v>
      </c>
      <c r="E32" s="196">
        <v>0</v>
      </c>
      <c r="F32" s="196">
        <v>0</v>
      </c>
    </row>
    <row r="33" spans="2:6" x14ac:dyDescent="0.2">
      <c r="B33" s="27"/>
      <c r="C33" s="27" t="s">
        <v>14</v>
      </c>
      <c r="D33" s="196">
        <v>58.64</v>
      </c>
      <c r="E33" s="196">
        <v>58.64</v>
      </c>
      <c r="F33" s="196">
        <v>58.64</v>
      </c>
    </row>
    <row r="34" spans="2:6" ht="15" x14ac:dyDescent="0.2">
      <c r="B34" s="27"/>
      <c r="C34" s="27" t="s">
        <v>15</v>
      </c>
      <c r="D34" s="105">
        <f>D31+D32-D33</f>
        <v>703.67</v>
      </c>
      <c r="E34" s="105">
        <f>E31+E32-E33</f>
        <v>645.03</v>
      </c>
      <c r="F34" s="105">
        <f>F31+F32-F33</f>
        <v>586.39</v>
      </c>
    </row>
    <row r="35" spans="2:6" ht="15" x14ac:dyDescent="0.2">
      <c r="B35" s="27"/>
      <c r="C35" s="27" t="s">
        <v>188</v>
      </c>
      <c r="D35" s="197">
        <v>732.94</v>
      </c>
      <c r="E35" s="105">
        <v>665.3921568627452</v>
      </c>
      <c r="F35" s="105">
        <v>618.33333333333337</v>
      </c>
    </row>
    <row r="36" spans="2:6" x14ac:dyDescent="0.2">
      <c r="B36" s="27"/>
      <c r="C36" s="27" t="s">
        <v>16</v>
      </c>
      <c r="D36" s="196">
        <v>9.9499999999999993</v>
      </c>
      <c r="E36" s="110">
        <v>10.199999999999999</v>
      </c>
      <c r="F36" s="110">
        <v>10.199999999999999</v>
      </c>
    </row>
    <row r="37" spans="2:6" ht="15" x14ac:dyDescent="0.2">
      <c r="B37" s="27"/>
      <c r="C37" s="27" t="s">
        <v>247</v>
      </c>
      <c r="D37" s="197">
        <v>72.930000000000007</v>
      </c>
      <c r="E37" s="105">
        <v>67.87</v>
      </c>
      <c r="F37" s="105">
        <v>63.07</v>
      </c>
    </row>
    <row r="38" spans="2:6" x14ac:dyDescent="0.2">
      <c r="B38" s="27"/>
      <c r="C38" s="27" t="s">
        <v>249</v>
      </c>
      <c r="D38" s="196">
        <v>0</v>
      </c>
      <c r="E38" s="110">
        <v>0</v>
      </c>
      <c r="F38" s="110">
        <v>0</v>
      </c>
    </row>
    <row r="39" spans="2:6" ht="15" x14ac:dyDescent="0.2">
      <c r="B39" s="27"/>
      <c r="C39" s="27" t="s">
        <v>250</v>
      </c>
      <c r="D39" s="105">
        <f>D37+D38</f>
        <v>72.930000000000007</v>
      </c>
      <c r="E39" s="105">
        <f>E37+E38</f>
        <v>67.87</v>
      </c>
      <c r="F39" s="105">
        <f>F37+F38</f>
        <v>63.07</v>
      </c>
    </row>
    <row r="40" spans="2:6" ht="15" x14ac:dyDescent="0.2">
      <c r="B40" s="20"/>
      <c r="C40" s="38" t="s">
        <v>127</v>
      </c>
      <c r="D40" s="110"/>
      <c r="E40" s="110"/>
      <c r="F40" s="110"/>
    </row>
    <row r="41" spans="2:6" x14ac:dyDescent="0.2">
      <c r="B41" s="27"/>
      <c r="C41" s="27" t="s">
        <v>13</v>
      </c>
      <c r="D41" s="196">
        <f>D31</f>
        <v>762.31</v>
      </c>
      <c r="E41" s="196">
        <f t="shared" ref="E41:F41" si="3">E31</f>
        <v>703.67</v>
      </c>
      <c r="F41" s="196">
        <f t="shared" si="3"/>
        <v>645.03</v>
      </c>
    </row>
    <row r="42" spans="2:6" x14ac:dyDescent="0.2">
      <c r="B42" s="27"/>
      <c r="C42" s="27" t="s">
        <v>149</v>
      </c>
      <c r="D42" s="196">
        <f t="shared" ref="D42:F43" si="4">D32</f>
        <v>0</v>
      </c>
      <c r="E42" s="196">
        <f t="shared" si="4"/>
        <v>0</v>
      </c>
      <c r="F42" s="196">
        <f t="shared" si="4"/>
        <v>0</v>
      </c>
    </row>
    <row r="43" spans="2:6" x14ac:dyDescent="0.2">
      <c r="B43" s="27"/>
      <c r="C43" s="27" t="s">
        <v>14</v>
      </c>
      <c r="D43" s="196">
        <f t="shared" si="4"/>
        <v>58.64</v>
      </c>
      <c r="E43" s="196">
        <f t="shared" si="4"/>
        <v>58.64</v>
      </c>
      <c r="F43" s="196">
        <f t="shared" si="4"/>
        <v>58.64</v>
      </c>
    </row>
    <row r="44" spans="2:6" ht="15" x14ac:dyDescent="0.2">
      <c r="B44" s="27"/>
      <c r="C44" s="27" t="s">
        <v>15</v>
      </c>
      <c r="D44" s="105">
        <f>D41+D42-D43</f>
        <v>703.67</v>
      </c>
      <c r="E44" s="105">
        <f>E41+E42-E43</f>
        <v>645.03</v>
      </c>
      <c r="F44" s="105">
        <f>F41+F42-F43</f>
        <v>586.39</v>
      </c>
    </row>
    <row r="45" spans="2:6" ht="15" x14ac:dyDescent="0.2">
      <c r="B45" s="27"/>
      <c r="C45" s="27" t="s">
        <v>188</v>
      </c>
      <c r="D45" s="105">
        <f>D35</f>
        <v>732.94</v>
      </c>
      <c r="E45" s="105">
        <f>E35</f>
        <v>665.3921568627452</v>
      </c>
      <c r="F45" s="105">
        <f>F35</f>
        <v>618.33333333333337</v>
      </c>
    </row>
    <row r="46" spans="2:6" x14ac:dyDescent="0.2">
      <c r="B46" s="27"/>
      <c r="C46" s="27" t="s">
        <v>16</v>
      </c>
      <c r="D46" s="110">
        <f>D36</f>
        <v>9.9499999999999993</v>
      </c>
      <c r="E46" s="110">
        <v>10.199999999999999</v>
      </c>
      <c r="F46" s="110">
        <v>10.199999999999999</v>
      </c>
    </row>
    <row r="47" spans="2:6" ht="15" x14ac:dyDescent="0.2">
      <c r="B47" s="27"/>
      <c r="C47" s="27" t="s">
        <v>247</v>
      </c>
      <c r="D47" s="105">
        <f>D37</f>
        <v>72.930000000000007</v>
      </c>
      <c r="E47" s="105">
        <f t="shared" ref="E47:F47" si="5">E37</f>
        <v>67.87</v>
      </c>
      <c r="F47" s="105">
        <f t="shared" si="5"/>
        <v>63.07</v>
      </c>
    </row>
    <row r="48" spans="2:6" x14ac:dyDescent="0.2">
      <c r="B48" s="27"/>
      <c r="C48" s="27" t="s">
        <v>249</v>
      </c>
      <c r="D48" s="110">
        <v>0</v>
      </c>
      <c r="E48" s="110">
        <v>0</v>
      </c>
      <c r="F48" s="110">
        <v>0</v>
      </c>
    </row>
    <row r="49" spans="2:6" ht="15" x14ac:dyDescent="0.2">
      <c r="B49" s="27"/>
      <c r="C49" s="27" t="s">
        <v>250</v>
      </c>
      <c r="D49" s="105">
        <f>D47+D48</f>
        <v>72.930000000000007</v>
      </c>
      <c r="E49" s="105">
        <f>E47+E48</f>
        <v>67.87</v>
      </c>
      <c r="F49" s="105">
        <f>F47+F48</f>
        <v>63.07</v>
      </c>
    </row>
  </sheetData>
  <mergeCells count="7">
    <mergeCell ref="B27:B29"/>
    <mergeCell ref="C27:C29"/>
    <mergeCell ref="I6:J6"/>
    <mergeCell ref="B6:B8"/>
    <mergeCell ref="C6:C8"/>
    <mergeCell ref="D6:F6"/>
    <mergeCell ref="G6:H6"/>
  </mergeCells>
  <pageMargins left="0.27559055118110237" right="0.23622047244094491" top="0.23622047244094491" bottom="0.23622047244094491" header="0.23622047244094491" footer="0.23622047244094491"/>
  <pageSetup paperSize="9" scale="93" fitToHeight="0" orientation="landscape" r:id="rId1"/>
  <headerFooter alignWithMargins="0"/>
  <rowBreaks count="1" manualBreakCount="1">
    <brk id="2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2"/>
  <sheetViews>
    <sheetView showGridLines="0" topLeftCell="A5" zoomScale="95" zoomScaleNormal="95" zoomScaleSheetLayoutView="90" workbookViewId="0">
      <selection activeCell="K9" sqref="K9"/>
    </sheetView>
  </sheetViews>
  <sheetFormatPr defaultColWidth="9.28515625" defaultRowHeight="14.25" x14ac:dyDescent="0.2"/>
  <cols>
    <col min="1" max="1" width="4.28515625" style="5" customWidth="1"/>
    <col min="2" max="2" width="6.28515625" style="5" customWidth="1"/>
    <col min="3" max="3" width="35.570312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0" width="14.42578125" style="5" bestFit="1" customWidth="1"/>
    <col min="11" max="13" width="11.7109375" style="5" bestFit="1" customWidth="1"/>
    <col min="14" max="16384" width="9.28515625" style="5"/>
  </cols>
  <sheetData>
    <row r="1" spans="2:12" ht="15" x14ac:dyDescent="0.2">
      <c r="B1" s="24"/>
    </row>
    <row r="2" spans="2:12" ht="15" x14ac:dyDescent="0.2">
      <c r="E2" s="32" t="s">
        <v>304</v>
      </c>
    </row>
    <row r="3" spans="2:12" ht="15" x14ac:dyDescent="0.2">
      <c r="E3" s="32" t="str">
        <f>'F1'!$F$3</f>
        <v>Lower Jurala HES</v>
      </c>
    </row>
    <row r="4" spans="2:12" ht="15" x14ac:dyDescent="0.2">
      <c r="E4" s="35" t="s">
        <v>251</v>
      </c>
    </row>
    <row r="5" spans="2:12" ht="15" x14ac:dyDescent="0.2">
      <c r="J5" s="26" t="s">
        <v>4</v>
      </c>
    </row>
    <row r="6" spans="2:12" s="13" customFormat="1" ht="15" customHeight="1" x14ac:dyDescent="0.2">
      <c r="B6" s="217" t="s">
        <v>169</v>
      </c>
      <c r="C6" s="220" t="s">
        <v>18</v>
      </c>
      <c r="D6" s="224" t="s">
        <v>305</v>
      </c>
      <c r="E6" s="225"/>
      <c r="F6" s="226"/>
      <c r="G6" s="224" t="s">
        <v>306</v>
      </c>
      <c r="H6" s="226"/>
      <c r="I6" s="224" t="s">
        <v>332</v>
      </c>
      <c r="J6" s="226"/>
    </row>
    <row r="7" spans="2:12" s="13" customFormat="1" ht="45" x14ac:dyDescent="0.2">
      <c r="B7" s="218"/>
      <c r="C7" s="220"/>
      <c r="D7" s="15" t="s">
        <v>277</v>
      </c>
      <c r="E7" s="15" t="s">
        <v>212</v>
      </c>
      <c r="F7" s="15" t="s">
        <v>183</v>
      </c>
      <c r="G7" s="15" t="s">
        <v>277</v>
      </c>
      <c r="H7" s="15" t="s">
        <v>211</v>
      </c>
      <c r="I7" s="15" t="s">
        <v>277</v>
      </c>
      <c r="J7" s="15" t="s">
        <v>201</v>
      </c>
    </row>
    <row r="8" spans="2:12" s="13" customFormat="1" ht="30" x14ac:dyDescent="0.2">
      <c r="B8" s="219"/>
      <c r="C8" s="221"/>
      <c r="D8" s="15" t="s">
        <v>10</v>
      </c>
      <c r="E8" s="15" t="s">
        <v>12</v>
      </c>
      <c r="F8" s="15" t="s">
        <v>203</v>
      </c>
      <c r="G8" s="15" t="s">
        <v>10</v>
      </c>
      <c r="H8" s="15" t="s">
        <v>328</v>
      </c>
      <c r="I8" s="15" t="s">
        <v>10</v>
      </c>
      <c r="J8" s="15" t="s">
        <v>328</v>
      </c>
    </row>
    <row r="9" spans="2:12" x14ac:dyDescent="0.2">
      <c r="B9" s="61">
        <v>1</v>
      </c>
      <c r="C9" s="27" t="s">
        <v>252</v>
      </c>
      <c r="D9" s="2"/>
      <c r="E9" s="110"/>
      <c r="F9" s="115"/>
      <c r="G9" s="120"/>
      <c r="H9" s="120"/>
      <c r="I9" s="120"/>
      <c r="J9" s="120"/>
    </row>
    <row r="10" spans="2:12" x14ac:dyDescent="0.2">
      <c r="B10" s="20">
        <f>B9+1</f>
        <v>2</v>
      </c>
      <c r="C10" s="27" t="s">
        <v>253</v>
      </c>
      <c r="D10" s="2"/>
      <c r="E10" s="110"/>
      <c r="F10" s="115"/>
      <c r="G10" s="120"/>
      <c r="H10" s="120"/>
      <c r="I10" s="120"/>
      <c r="J10" s="120"/>
    </row>
    <row r="11" spans="2:12" x14ac:dyDescent="0.2">
      <c r="B11" s="20">
        <f t="shared" ref="B11:B19" si="0">B10+1</f>
        <v>3</v>
      </c>
      <c r="C11" s="29" t="s">
        <v>254</v>
      </c>
      <c r="D11" s="2"/>
      <c r="E11" s="110"/>
      <c r="F11" s="115"/>
      <c r="G11" s="120"/>
      <c r="H11" s="120"/>
      <c r="I11" s="120"/>
      <c r="J11" s="120"/>
    </row>
    <row r="12" spans="2:12" x14ac:dyDescent="0.2">
      <c r="B12" s="20">
        <f t="shared" si="0"/>
        <v>4</v>
      </c>
      <c r="C12" s="66" t="s">
        <v>255</v>
      </c>
      <c r="D12" s="109"/>
      <c r="E12" s="109">
        <f>'F2'!F14/12</f>
        <v>4.5083333333333337</v>
      </c>
      <c r="F12" s="129">
        <f>'F2'!G14/12</f>
        <v>4.5083333333333337</v>
      </c>
      <c r="G12" s="129"/>
      <c r="H12" s="129">
        <f>'F2'!I14/12</f>
        <v>5.2816666666666672</v>
      </c>
      <c r="I12" s="129"/>
      <c r="J12" s="129">
        <f>'F2'!K14/12</f>
        <v>5.5133333333333328</v>
      </c>
    </row>
    <row r="13" spans="2:12" s="32" customFormat="1" ht="15" x14ac:dyDescent="0.2">
      <c r="B13" s="20">
        <f t="shared" si="0"/>
        <v>5</v>
      </c>
      <c r="C13" s="37" t="s">
        <v>256</v>
      </c>
      <c r="D13" s="67"/>
      <c r="E13" s="115">
        <f>'F4'!F21*1%</f>
        <v>16.3581</v>
      </c>
      <c r="F13" s="115">
        <f>E13</f>
        <v>16.3581</v>
      </c>
      <c r="G13" s="115"/>
      <c r="H13" s="115">
        <f>'F4'!F37*1%</f>
        <v>16.442399999999999</v>
      </c>
      <c r="I13" s="115"/>
      <c r="J13" s="115">
        <f>'F4'!F37*1%</f>
        <v>16.442399999999999</v>
      </c>
    </row>
    <row r="14" spans="2:12" x14ac:dyDescent="0.2">
      <c r="B14" s="20">
        <f t="shared" si="0"/>
        <v>6</v>
      </c>
      <c r="C14" s="66" t="s">
        <v>298</v>
      </c>
      <c r="D14" s="109"/>
      <c r="E14" s="109">
        <f ca="1">'F1'!G16*45/365</f>
        <v>29.589041095890412</v>
      </c>
      <c r="F14" s="109">
        <f ca="1">'F1'!H16*45/365</f>
        <v>29.589041095890412</v>
      </c>
      <c r="G14" s="109"/>
      <c r="H14" s="109">
        <f ca="1">'F1'!J16*45/365</f>
        <v>30.645616438356168</v>
      </c>
      <c r="I14" s="109"/>
      <c r="J14" s="109">
        <f ca="1">'F1'!L16*45/365</f>
        <v>30.771369863013696</v>
      </c>
      <c r="K14" s="148"/>
    </row>
    <row r="15" spans="2:12" x14ac:dyDescent="0.2">
      <c r="B15" s="20"/>
      <c r="C15" s="66" t="s">
        <v>257</v>
      </c>
      <c r="D15" s="67"/>
      <c r="E15" s="29"/>
      <c r="F15" s="3"/>
      <c r="G15" s="29"/>
      <c r="H15" s="29"/>
      <c r="I15" s="29"/>
      <c r="J15" s="29"/>
    </row>
    <row r="16" spans="2:12" x14ac:dyDescent="0.2">
      <c r="B16" s="20">
        <f>B14+1</f>
        <v>7</v>
      </c>
      <c r="C16" s="27" t="s">
        <v>299</v>
      </c>
      <c r="D16" s="109"/>
      <c r="E16" s="109"/>
      <c r="F16" s="109"/>
      <c r="G16" s="109"/>
      <c r="H16" s="109"/>
      <c r="I16" s="109"/>
      <c r="J16" s="109"/>
      <c r="L16" s="148"/>
    </row>
    <row r="17" spans="2:10" ht="15" x14ac:dyDescent="0.2">
      <c r="B17" s="20">
        <f t="shared" si="0"/>
        <v>8</v>
      </c>
      <c r="C17" s="27" t="s">
        <v>44</v>
      </c>
      <c r="D17" s="107">
        <f>SUM(D9:D14)-D16</f>
        <v>0</v>
      </c>
      <c r="E17" s="107">
        <f t="shared" ref="E17:J17" ca="1" si="1">SUM(E9:E14)-E16</f>
        <v>50.455474429223742</v>
      </c>
      <c r="F17" s="107">
        <f t="shared" ca="1" si="1"/>
        <v>50.455474429223742</v>
      </c>
      <c r="G17" s="107">
        <f t="shared" si="1"/>
        <v>0</v>
      </c>
      <c r="H17" s="107">
        <f t="shared" ca="1" si="1"/>
        <v>52.36968310502283</v>
      </c>
      <c r="I17" s="107">
        <f t="shared" si="1"/>
        <v>0</v>
      </c>
      <c r="J17" s="107">
        <f t="shared" ca="1" si="1"/>
        <v>52.727103196347031</v>
      </c>
    </row>
    <row r="18" spans="2:10" x14ac:dyDescent="0.2">
      <c r="B18" s="20">
        <f t="shared" si="0"/>
        <v>9</v>
      </c>
      <c r="C18" s="27" t="s">
        <v>258</v>
      </c>
      <c r="D18" s="108"/>
      <c r="E18" s="108">
        <v>0.1041</v>
      </c>
      <c r="F18" s="108">
        <f>E18</f>
        <v>0.1041</v>
      </c>
      <c r="G18" s="108">
        <v>0.10249999999999999</v>
      </c>
      <c r="H18" s="108">
        <v>0.10249999999999999</v>
      </c>
      <c r="I18" s="108"/>
      <c r="J18" s="108">
        <v>0.10249999999999999</v>
      </c>
    </row>
    <row r="19" spans="2:10" ht="15" x14ac:dyDescent="0.2">
      <c r="B19" s="20">
        <f t="shared" si="0"/>
        <v>10</v>
      </c>
      <c r="C19" s="66" t="s">
        <v>259</v>
      </c>
      <c r="D19" s="107">
        <v>4.4400000000000004</v>
      </c>
      <c r="E19" s="107">
        <f ca="1">ROUND(E17*E18,2)</f>
        <v>5.25</v>
      </c>
      <c r="F19" s="107">
        <f ca="1">ROUND(F17*F18,2)</f>
        <v>5.25</v>
      </c>
      <c r="G19" s="107">
        <v>4.68</v>
      </c>
      <c r="H19" s="107">
        <f ca="1">ROUND(H17*H18,2)</f>
        <v>5.37</v>
      </c>
      <c r="I19" s="107">
        <v>4.66</v>
      </c>
      <c r="J19" s="107">
        <f ca="1">ROUND(J17*J18,2)</f>
        <v>5.4</v>
      </c>
    </row>
    <row r="20" spans="2:10" x14ac:dyDescent="0.2">
      <c r="D20" s="137"/>
    </row>
    <row r="21" spans="2:10" x14ac:dyDescent="0.2">
      <c r="C21" s="5" t="s">
        <v>214</v>
      </c>
    </row>
    <row r="22" spans="2:10" x14ac:dyDescent="0.2">
      <c r="C22" s="5" t="s">
        <v>300</v>
      </c>
    </row>
  </sheetData>
  <mergeCells count="5">
    <mergeCell ref="G6:H6"/>
    <mergeCell ref="I6:J6"/>
    <mergeCell ref="B6:B8"/>
    <mergeCell ref="C6:C8"/>
    <mergeCell ref="D6:F6"/>
  </mergeCells>
  <pageMargins left="0.27" right="0.25" top="1" bottom="1" header="0.25" footer="0.25"/>
  <pageSetup paperSize="9" scale="96"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showGridLines="0" topLeftCell="A18" zoomScale="96" zoomScaleNormal="96" zoomScaleSheetLayoutView="90" zoomScalePageLayoutView="84" workbookViewId="0">
      <selection activeCell="H21" sqref="H21"/>
    </sheetView>
  </sheetViews>
  <sheetFormatPr defaultColWidth="9.28515625" defaultRowHeight="14.25" x14ac:dyDescent="0.2"/>
  <cols>
    <col min="1" max="1" width="3.28515625" style="5" customWidth="1"/>
    <col min="2" max="2" width="6.28515625" style="5" customWidth="1"/>
    <col min="3" max="3" width="60.28515625" style="5" customWidth="1"/>
    <col min="4" max="4" width="12.42578125" style="5" customWidth="1"/>
    <col min="5" max="5" width="11" style="5" customWidth="1"/>
    <col min="6" max="6" width="13.42578125" style="5" bestFit="1" customWidth="1"/>
    <col min="7" max="9" width="12.140625" style="5" customWidth="1"/>
    <col min="10" max="10" width="11.28515625" style="5" customWidth="1"/>
    <col min="11" max="13" width="11.7109375" style="5" bestFit="1" customWidth="1"/>
    <col min="14" max="16384" width="9.28515625" style="5"/>
  </cols>
  <sheetData>
    <row r="1" spans="2:10" ht="15" x14ac:dyDescent="0.2">
      <c r="B1" s="24"/>
    </row>
    <row r="2" spans="2:10" ht="15" x14ac:dyDescent="0.2">
      <c r="D2" s="32" t="s">
        <v>304</v>
      </c>
    </row>
    <row r="3" spans="2:10" ht="15" x14ac:dyDescent="0.2">
      <c r="D3" s="32" t="str">
        <f>'F1'!$F$3</f>
        <v>Lower Jurala HES</v>
      </c>
    </row>
    <row r="4" spans="2:10" ht="15" x14ac:dyDescent="0.2">
      <c r="D4" s="35" t="s">
        <v>260</v>
      </c>
    </row>
    <row r="5" spans="2:10" ht="15" x14ac:dyDescent="0.2">
      <c r="J5" s="26" t="s">
        <v>4</v>
      </c>
    </row>
    <row r="6" spans="2:10" s="13" customFormat="1" ht="15" customHeight="1" x14ac:dyDescent="0.2">
      <c r="B6" s="217" t="s">
        <v>169</v>
      </c>
      <c r="C6" s="220" t="s">
        <v>18</v>
      </c>
      <c r="D6" s="224" t="s">
        <v>305</v>
      </c>
      <c r="E6" s="225"/>
      <c r="F6" s="226"/>
      <c r="G6" s="224" t="s">
        <v>306</v>
      </c>
      <c r="H6" s="226"/>
      <c r="I6" s="224" t="s">
        <v>332</v>
      </c>
      <c r="J6" s="226"/>
    </row>
    <row r="7" spans="2:10" s="13" customFormat="1" ht="45" x14ac:dyDescent="0.2">
      <c r="B7" s="218"/>
      <c r="C7" s="220"/>
      <c r="D7" s="15" t="s">
        <v>277</v>
      </c>
      <c r="E7" s="15" t="s">
        <v>212</v>
      </c>
      <c r="F7" s="15" t="s">
        <v>183</v>
      </c>
      <c r="G7" s="15" t="s">
        <v>277</v>
      </c>
      <c r="H7" s="15" t="s">
        <v>211</v>
      </c>
      <c r="I7" s="15" t="s">
        <v>277</v>
      </c>
      <c r="J7" s="15" t="s">
        <v>211</v>
      </c>
    </row>
    <row r="8" spans="2:10" s="13" customFormat="1" ht="30" x14ac:dyDescent="0.2">
      <c r="B8" s="219"/>
      <c r="C8" s="221"/>
      <c r="D8" s="15" t="s">
        <v>10</v>
      </c>
      <c r="E8" s="15" t="s">
        <v>12</v>
      </c>
      <c r="F8" s="15" t="s">
        <v>203</v>
      </c>
      <c r="G8" s="15" t="s">
        <v>10</v>
      </c>
      <c r="H8" s="15" t="s">
        <v>328</v>
      </c>
      <c r="I8" s="15" t="s">
        <v>10</v>
      </c>
      <c r="J8" s="15" t="s">
        <v>328</v>
      </c>
    </row>
    <row r="9" spans="2:10" x14ac:dyDescent="0.2">
      <c r="B9" s="61">
        <v>1</v>
      </c>
      <c r="C9" s="27" t="s">
        <v>196</v>
      </c>
      <c r="D9" s="117"/>
      <c r="E9" s="115">
        <f>'F4'!F21*30%</f>
        <v>490.74299999999994</v>
      </c>
      <c r="F9" s="115">
        <f>E9</f>
        <v>490.74299999999994</v>
      </c>
      <c r="G9" s="119"/>
      <c r="H9" s="120">
        <f>E13</f>
        <v>492.85049999999995</v>
      </c>
      <c r="I9" s="119"/>
      <c r="J9" s="120">
        <f>H13</f>
        <v>492.85049999999995</v>
      </c>
    </row>
    <row r="10" spans="2:10" x14ac:dyDescent="0.2">
      <c r="B10" s="20">
        <f>B9+1</f>
        <v>2</v>
      </c>
      <c r="C10" s="27" t="s">
        <v>197</v>
      </c>
      <c r="D10" s="117"/>
      <c r="E10" s="115">
        <f>'F3'!E12</f>
        <v>8.43</v>
      </c>
      <c r="F10" s="115">
        <f>'F3'!F12</f>
        <v>8.43</v>
      </c>
      <c r="G10" s="115">
        <f>'F3'!G12</f>
        <v>0</v>
      </c>
      <c r="H10" s="115">
        <f>'F3'!H12</f>
        <v>0</v>
      </c>
      <c r="I10" s="115">
        <f>'F3'!I12</f>
        <v>0</v>
      </c>
      <c r="J10" s="115">
        <f>'F3'!J12</f>
        <v>12.6</v>
      </c>
    </row>
    <row r="11" spans="2:10" x14ac:dyDescent="0.2">
      <c r="B11" s="20">
        <f t="shared" ref="B11:B21" si="0">B10+1</f>
        <v>3</v>
      </c>
      <c r="C11" s="29" t="s">
        <v>19</v>
      </c>
      <c r="D11" s="118">
        <f>D10*25%</f>
        <v>0</v>
      </c>
      <c r="E11" s="118">
        <f>E10*25%</f>
        <v>2.1074999999999999</v>
      </c>
      <c r="F11" s="118">
        <f t="shared" ref="F11:J11" si="1">F10*25%</f>
        <v>2.1074999999999999</v>
      </c>
      <c r="G11" s="118">
        <f t="shared" si="1"/>
        <v>0</v>
      </c>
      <c r="H11" s="118">
        <f t="shared" si="1"/>
        <v>0</v>
      </c>
      <c r="I11" s="118">
        <f t="shared" si="1"/>
        <v>0</v>
      </c>
      <c r="J11" s="118">
        <f t="shared" si="1"/>
        <v>3.15</v>
      </c>
    </row>
    <row r="12" spans="2:10" ht="28.5" x14ac:dyDescent="0.2">
      <c r="B12" s="20">
        <f t="shared" si="0"/>
        <v>4</v>
      </c>
      <c r="C12" s="66" t="s">
        <v>20</v>
      </c>
      <c r="D12" s="121"/>
      <c r="E12" s="39"/>
      <c r="F12" s="117"/>
      <c r="G12" s="39"/>
      <c r="H12" s="39"/>
      <c r="I12" s="39"/>
      <c r="J12" s="39"/>
    </row>
    <row r="13" spans="2:10" s="32" customFormat="1" ht="15" x14ac:dyDescent="0.2">
      <c r="B13" s="20">
        <f t="shared" si="0"/>
        <v>5</v>
      </c>
      <c r="C13" s="37" t="s">
        <v>21</v>
      </c>
      <c r="D13" s="122">
        <f>D9+D11-D12</f>
        <v>0</v>
      </c>
      <c r="E13" s="122">
        <f t="shared" ref="E13:J13" si="2">E9+E11-E12</f>
        <v>492.85049999999995</v>
      </c>
      <c r="F13" s="122">
        <f>F9+F11-F12</f>
        <v>492.85049999999995</v>
      </c>
      <c r="G13" s="122">
        <f t="shared" si="2"/>
        <v>0</v>
      </c>
      <c r="H13" s="122">
        <f t="shared" si="2"/>
        <v>492.85049999999995</v>
      </c>
      <c r="I13" s="122"/>
      <c r="J13" s="122">
        <f t="shared" si="2"/>
        <v>496.00049999999993</v>
      </c>
    </row>
    <row r="14" spans="2:10" s="32" customFormat="1" ht="15" x14ac:dyDescent="0.2">
      <c r="B14" s="20"/>
      <c r="C14" s="68" t="s">
        <v>261</v>
      </c>
      <c r="D14" s="67"/>
      <c r="E14" s="29"/>
      <c r="F14" s="3"/>
      <c r="G14" s="29"/>
      <c r="H14" s="29"/>
      <c r="I14" s="29"/>
      <c r="J14" s="29"/>
    </row>
    <row r="15" spans="2:10" s="32" customFormat="1" ht="15" x14ac:dyDescent="0.2">
      <c r="B15" s="20">
        <f>B13+1</f>
        <v>6</v>
      </c>
      <c r="C15" s="37" t="s">
        <v>262</v>
      </c>
      <c r="D15" s="154">
        <v>0.115</v>
      </c>
      <c r="E15" s="154">
        <v>0.155</v>
      </c>
      <c r="F15" s="154">
        <v>0.155</v>
      </c>
      <c r="G15" s="154">
        <v>0.155</v>
      </c>
      <c r="H15" s="154">
        <v>0.155</v>
      </c>
      <c r="I15" s="154">
        <v>0.155</v>
      </c>
      <c r="J15" s="154">
        <v>0.155</v>
      </c>
    </row>
    <row r="16" spans="2:10" s="32" customFormat="1" ht="15" x14ac:dyDescent="0.2">
      <c r="B16" s="20">
        <f>B15+1</f>
        <v>7</v>
      </c>
      <c r="C16" s="37" t="s">
        <v>263</v>
      </c>
      <c r="D16" s="155">
        <v>0.25168000000000001</v>
      </c>
      <c r="E16" s="155">
        <v>0.25168000000000001</v>
      </c>
      <c r="F16" s="155">
        <v>0.25168000000000001</v>
      </c>
      <c r="G16" s="155">
        <v>0.25168000000000001</v>
      </c>
      <c r="H16" s="155">
        <v>0.25168000000000001</v>
      </c>
      <c r="I16" s="155">
        <v>0.25168000000000001</v>
      </c>
      <c r="J16" s="155">
        <v>0.25168000000000001</v>
      </c>
    </row>
    <row r="17" spans="2:10" s="32" customFormat="1" ht="15" x14ac:dyDescent="0.2">
      <c r="B17" s="20">
        <f>B16+1</f>
        <v>8</v>
      </c>
      <c r="C17" s="30" t="s">
        <v>261</v>
      </c>
      <c r="D17" s="156">
        <f>D15/(1-D16)</f>
        <v>0.15367757109258073</v>
      </c>
      <c r="E17" s="156">
        <f t="shared" ref="E17:J17" si="3">E15/(1-E16)</f>
        <v>0.20713063929869574</v>
      </c>
      <c r="F17" s="156">
        <f t="shared" si="3"/>
        <v>0.20713063929869574</v>
      </c>
      <c r="G17" s="156">
        <f t="shared" si="3"/>
        <v>0.20713063929869574</v>
      </c>
      <c r="H17" s="156">
        <f t="shared" si="3"/>
        <v>0.20713063929869574</v>
      </c>
      <c r="I17" s="156">
        <f t="shared" si="3"/>
        <v>0.20713063929869574</v>
      </c>
      <c r="J17" s="156">
        <f t="shared" si="3"/>
        <v>0.20713063929869574</v>
      </c>
    </row>
    <row r="18" spans="2:10" ht="15" x14ac:dyDescent="0.2">
      <c r="B18" s="20"/>
      <c r="C18" s="68" t="s">
        <v>159</v>
      </c>
      <c r="D18" s="106"/>
      <c r="E18" s="29"/>
      <c r="F18" s="3"/>
      <c r="G18" s="29"/>
      <c r="H18" s="29"/>
      <c r="I18" s="29"/>
      <c r="J18" s="29"/>
    </row>
    <row r="19" spans="2:10" ht="17.25" customHeight="1" x14ac:dyDescent="0.2">
      <c r="B19" s="20">
        <f>B17+1</f>
        <v>9</v>
      </c>
      <c r="C19" s="66" t="s">
        <v>198</v>
      </c>
      <c r="D19" s="107">
        <f>D9*D17</f>
        <v>0</v>
      </c>
      <c r="E19" s="107">
        <f t="shared" ref="E19:J19" si="4">E9*E17</f>
        <v>101.64791132135983</v>
      </c>
      <c r="F19" s="107">
        <f t="shared" si="4"/>
        <v>101.64791132135983</v>
      </c>
      <c r="G19" s="107">
        <f t="shared" si="4"/>
        <v>0</v>
      </c>
      <c r="H19" s="107">
        <f t="shared" si="4"/>
        <v>102.08443914368183</v>
      </c>
      <c r="I19" s="107"/>
      <c r="J19" s="107">
        <f t="shared" si="4"/>
        <v>102.08443914368183</v>
      </c>
    </row>
    <row r="20" spans="2:10" ht="18.75" customHeight="1" x14ac:dyDescent="0.2">
      <c r="B20" s="20">
        <f t="shared" si="0"/>
        <v>10</v>
      </c>
      <c r="C20" s="66" t="s">
        <v>199</v>
      </c>
      <c r="D20" s="107">
        <f>AVERAGE(D9,D13)*D17-D19</f>
        <v>0</v>
      </c>
      <c r="E20" s="107">
        <f t="shared" ref="E20:J20" si="5">AVERAGE(E9,E13)*E17-E19</f>
        <v>0.21826391116101718</v>
      </c>
      <c r="F20" s="107">
        <f t="shared" si="5"/>
        <v>0.21826391116101718</v>
      </c>
      <c r="G20" s="107">
        <f t="shared" si="5"/>
        <v>0</v>
      </c>
      <c r="H20" s="107">
        <f t="shared" si="5"/>
        <v>0</v>
      </c>
      <c r="I20" s="107"/>
      <c r="J20" s="107">
        <f t="shared" si="5"/>
        <v>0.32623075689544123</v>
      </c>
    </row>
    <row r="21" spans="2:10" ht="15" x14ac:dyDescent="0.2">
      <c r="B21" s="20">
        <f t="shared" si="0"/>
        <v>11</v>
      </c>
      <c r="C21" s="38" t="s">
        <v>160</v>
      </c>
      <c r="D21" s="107">
        <v>61.95</v>
      </c>
      <c r="E21" s="107">
        <f>ROUND((E19+E20),2)</f>
        <v>101.87</v>
      </c>
      <c r="F21" s="107">
        <f>ROUND((F19+F20),2)</f>
        <v>101.87</v>
      </c>
      <c r="G21" s="107">
        <v>81.97</v>
      </c>
      <c r="H21" s="107">
        <f>ROUND((H19+H20),2)</f>
        <v>102.08</v>
      </c>
      <c r="I21" s="107">
        <v>81.97</v>
      </c>
      <c r="J21" s="107">
        <f>ROUND((J19+J20),2)</f>
        <v>102.41</v>
      </c>
    </row>
    <row r="22" spans="2:10" x14ac:dyDescent="0.2">
      <c r="C22" s="5" t="s">
        <v>214</v>
      </c>
    </row>
    <row r="23" spans="2:10" x14ac:dyDescent="0.2">
      <c r="C23" s="5" t="s">
        <v>302</v>
      </c>
    </row>
  </sheetData>
  <mergeCells count="5">
    <mergeCell ref="I6:J6"/>
    <mergeCell ref="B6:B8"/>
    <mergeCell ref="C6:C8"/>
    <mergeCell ref="D6:F6"/>
    <mergeCell ref="G6:H6"/>
  </mergeCells>
  <pageMargins left="1.02" right="0.25" top="1" bottom="1" header="0.25" footer="0.25"/>
  <pageSetup paperSize="9" scale="8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9"/>
  <sheetViews>
    <sheetView showGridLines="0" view="pageBreakPreview" topLeftCell="A22" zoomScale="90" zoomScaleNormal="112" zoomScaleSheetLayoutView="90" workbookViewId="0">
      <selection activeCell="I29" sqref="I29"/>
    </sheetView>
  </sheetViews>
  <sheetFormatPr defaultColWidth="9.28515625" defaultRowHeight="14.25" x14ac:dyDescent="0.2"/>
  <cols>
    <col min="1" max="1" width="2.7109375" style="5" customWidth="1"/>
    <col min="2" max="2" width="6.28515625" style="5" customWidth="1"/>
    <col min="3" max="3" width="50.42578125" style="5" customWidth="1"/>
    <col min="4" max="5" width="11.28515625" style="5" customWidth="1"/>
    <col min="6" max="6" width="13.7109375" style="5" customWidth="1"/>
    <col min="7" max="10" width="11.28515625" style="5" customWidth="1"/>
    <col min="11" max="13" width="11.7109375" style="5" bestFit="1" customWidth="1"/>
    <col min="14" max="16384" width="9.28515625" style="5"/>
  </cols>
  <sheetData>
    <row r="2" spans="2:10" ht="15" x14ac:dyDescent="0.2">
      <c r="E2" s="32" t="s">
        <v>304</v>
      </c>
    </row>
    <row r="3" spans="2:10" ht="15" x14ac:dyDescent="0.2">
      <c r="E3" s="32" t="str">
        <f>'F1'!$F$3</f>
        <v>Lower Jurala HES</v>
      </c>
    </row>
    <row r="4" spans="2:10" ht="15" x14ac:dyDescent="0.2">
      <c r="B4" s="33"/>
      <c r="C4" s="24"/>
      <c r="D4" s="25"/>
      <c r="E4" s="35" t="s">
        <v>264</v>
      </c>
      <c r="F4" s="25"/>
      <c r="G4" s="25"/>
      <c r="H4" s="25"/>
      <c r="I4" s="25"/>
      <c r="J4" s="25"/>
    </row>
    <row r="5" spans="2:10" ht="15" x14ac:dyDescent="0.2">
      <c r="J5" s="26" t="s">
        <v>4</v>
      </c>
    </row>
    <row r="6" spans="2:10" s="13" customFormat="1" ht="15" customHeight="1" x14ac:dyDescent="0.2">
      <c r="B6" s="217" t="s">
        <v>169</v>
      </c>
      <c r="C6" s="220" t="s">
        <v>18</v>
      </c>
      <c r="D6" s="224" t="s">
        <v>305</v>
      </c>
      <c r="E6" s="225"/>
      <c r="F6" s="226"/>
      <c r="G6" s="224" t="s">
        <v>306</v>
      </c>
      <c r="H6" s="226"/>
      <c r="I6" s="224" t="s">
        <v>332</v>
      </c>
      <c r="J6" s="226"/>
    </row>
    <row r="7" spans="2:10" s="13" customFormat="1" ht="30" x14ac:dyDescent="0.2">
      <c r="B7" s="218"/>
      <c r="C7" s="220"/>
      <c r="D7" s="15" t="s">
        <v>277</v>
      </c>
      <c r="E7" s="15" t="s">
        <v>212</v>
      </c>
      <c r="F7" s="15" t="s">
        <v>183</v>
      </c>
      <c r="G7" s="15" t="s">
        <v>277</v>
      </c>
      <c r="H7" s="15" t="s">
        <v>211</v>
      </c>
      <c r="I7" s="15" t="s">
        <v>277</v>
      </c>
      <c r="J7" s="15" t="s">
        <v>201</v>
      </c>
    </row>
    <row r="8" spans="2:10" s="13" customFormat="1" ht="15" x14ac:dyDescent="0.2">
      <c r="B8" s="219"/>
      <c r="C8" s="221"/>
      <c r="D8" s="15" t="s">
        <v>10</v>
      </c>
      <c r="E8" s="15" t="s">
        <v>12</v>
      </c>
      <c r="F8" s="15" t="s">
        <v>203</v>
      </c>
      <c r="G8" s="15" t="s">
        <v>10</v>
      </c>
      <c r="H8" s="15" t="s">
        <v>5</v>
      </c>
      <c r="I8" s="15" t="s">
        <v>10</v>
      </c>
      <c r="J8" s="15" t="s">
        <v>8</v>
      </c>
    </row>
    <row r="9" spans="2:10" s="13" customFormat="1" ht="15" x14ac:dyDescent="0.2">
      <c r="B9" s="61">
        <v>1</v>
      </c>
      <c r="C9" s="157" t="s">
        <v>316</v>
      </c>
      <c r="D9" s="138"/>
      <c r="E9" s="139">
        <v>2.2774462589731176E-2</v>
      </c>
      <c r="F9" s="139">
        <v>2.2774462589731176E-2</v>
      </c>
      <c r="G9" s="15"/>
      <c r="H9" s="159">
        <v>2.3685441093320422E-2</v>
      </c>
      <c r="I9" s="15"/>
      <c r="J9" s="159">
        <v>2.4632858737053238E-2</v>
      </c>
    </row>
    <row r="10" spans="2:10" s="13" customFormat="1" ht="15" x14ac:dyDescent="0.2">
      <c r="B10" s="61">
        <f>B9+1</f>
        <v>2</v>
      </c>
      <c r="C10" s="157" t="s">
        <v>315</v>
      </c>
      <c r="D10" s="138"/>
      <c r="E10" s="139">
        <v>9.7217785812133968E-4</v>
      </c>
      <c r="F10" s="139">
        <v>9.7217785812133968E-4</v>
      </c>
      <c r="G10" s="15"/>
      <c r="H10" s="159">
        <v>1.0110649724461933E-3</v>
      </c>
      <c r="I10" s="15"/>
      <c r="J10" s="159">
        <v>1.051507571344041E-3</v>
      </c>
    </row>
    <row r="11" spans="2:10" s="13" customFormat="1" ht="15" x14ac:dyDescent="0.2">
      <c r="B11" s="61">
        <f>B10+1</f>
        <v>3</v>
      </c>
      <c r="C11" s="157" t="s">
        <v>314</v>
      </c>
      <c r="D11" s="138"/>
      <c r="E11" s="139">
        <v>8.3874801159660502E-3</v>
      </c>
      <c r="F11" s="139">
        <v>8.3874801159660502E-3</v>
      </c>
      <c r="G11" s="15"/>
      <c r="H11" s="159">
        <v>8.7229793206046926E-3</v>
      </c>
      <c r="I11" s="15"/>
      <c r="J11" s="159">
        <v>9.0718984934288812E-3</v>
      </c>
    </row>
    <row r="12" spans="2:10" s="13" customFormat="1" ht="15" x14ac:dyDescent="0.2">
      <c r="B12" s="158">
        <f t="shared" ref="B12:B27" si="0">B11+1</f>
        <v>4</v>
      </c>
      <c r="C12" s="157" t="s">
        <v>327</v>
      </c>
      <c r="D12" s="138"/>
      <c r="E12" s="139">
        <v>0</v>
      </c>
      <c r="F12" s="139">
        <v>0</v>
      </c>
      <c r="G12" s="15"/>
      <c r="H12" s="159">
        <v>0</v>
      </c>
      <c r="I12" s="15"/>
      <c r="J12" s="159">
        <v>0</v>
      </c>
    </row>
    <row r="13" spans="2:10" s="13" customFormat="1" ht="15" x14ac:dyDescent="0.2">
      <c r="B13" s="158">
        <f t="shared" si="0"/>
        <v>5</v>
      </c>
      <c r="C13" s="157" t="s">
        <v>324</v>
      </c>
      <c r="D13" s="139"/>
      <c r="E13" s="139">
        <v>2.7212503561923501E-3</v>
      </c>
      <c r="F13" s="139">
        <v>2.7212503561923501E-3</v>
      </c>
      <c r="G13" s="15"/>
      <c r="H13" s="159">
        <v>2.8301003704400435E-3</v>
      </c>
      <c r="I13" s="15"/>
      <c r="J13" s="159">
        <v>2.9433043852576455E-3</v>
      </c>
    </row>
    <row r="14" spans="2:10" s="13" customFormat="1" ht="15" x14ac:dyDescent="0.2">
      <c r="B14" s="158">
        <f t="shared" si="0"/>
        <v>6</v>
      </c>
      <c r="C14" s="157" t="s">
        <v>310</v>
      </c>
      <c r="D14" s="139"/>
      <c r="E14" s="139">
        <v>3.0987159791679895E-2</v>
      </c>
      <c r="F14" s="139">
        <v>3.0987159791679895E-2</v>
      </c>
      <c r="G14" s="15"/>
      <c r="H14" s="159">
        <v>3.2226646183347092E-2</v>
      </c>
      <c r="I14" s="15"/>
      <c r="J14" s="159">
        <v>3.3515712030680975E-2</v>
      </c>
    </row>
    <row r="15" spans="2:10" s="13" customFormat="1" ht="15" x14ac:dyDescent="0.2">
      <c r="B15" s="158">
        <f t="shared" si="0"/>
        <v>7</v>
      </c>
      <c r="C15" s="157" t="s">
        <v>323</v>
      </c>
      <c r="D15" s="139"/>
      <c r="E15" s="139">
        <v>2.855E-4</v>
      </c>
      <c r="F15" s="139">
        <v>2.855E-4</v>
      </c>
      <c r="G15" s="15"/>
      <c r="H15" s="159">
        <v>4.649804269065542E-4</v>
      </c>
      <c r="I15" s="15"/>
      <c r="J15" s="159">
        <v>4.8357964398281639E-4</v>
      </c>
    </row>
    <row r="16" spans="2:10" s="13" customFormat="1" ht="15" x14ac:dyDescent="0.2">
      <c r="B16" s="158">
        <f t="shared" si="0"/>
        <v>8</v>
      </c>
      <c r="C16" s="157" t="s">
        <v>318</v>
      </c>
      <c r="D16" s="139"/>
      <c r="E16" s="139">
        <v>7.3326782272414681E-2</v>
      </c>
      <c r="F16" s="139">
        <v>7.3326782272414681E-2</v>
      </c>
      <c r="G16" s="15"/>
      <c r="H16" s="159">
        <v>7.6259853563311261E-2</v>
      </c>
      <c r="I16" s="15"/>
      <c r="J16" s="159">
        <v>7.9310247705843717E-2</v>
      </c>
    </row>
    <row r="17" spans="2:10" s="13" customFormat="1" ht="15" x14ac:dyDescent="0.2">
      <c r="B17" s="158">
        <f t="shared" si="0"/>
        <v>9</v>
      </c>
      <c r="C17" s="157" t="s">
        <v>311</v>
      </c>
      <c r="D17" s="139"/>
      <c r="E17" s="139">
        <v>0</v>
      </c>
      <c r="F17" s="139">
        <v>0</v>
      </c>
      <c r="G17" s="15"/>
      <c r="H17" s="159">
        <v>0</v>
      </c>
      <c r="I17" s="15"/>
      <c r="J17" s="159">
        <v>0</v>
      </c>
    </row>
    <row r="18" spans="2:10" s="13" customFormat="1" ht="15" x14ac:dyDescent="0.2">
      <c r="B18" s="158">
        <f t="shared" si="0"/>
        <v>10</v>
      </c>
      <c r="C18" s="157" t="s">
        <v>346</v>
      </c>
      <c r="D18" s="139"/>
      <c r="E18" s="139">
        <v>0</v>
      </c>
      <c r="F18" s="139">
        <v>0</v>
      </c>
      <c r="G18" s="15"/>
      <c r="H18" s="159">
        <v>0</v>
      </c>
      <c r="I18" s="15"/>
      <c r="J18" s="159">
        <v>0</v>
      </c>
    </row>
    <row r="19" spans="2:10" s="13" customFormat="1" ht="15" x14ac:dyDescent="0.2">
      <c r="B19" s="158">
        <f t="shared" si="0"/>
        <v>11</v>
      </c>
      <c r="C19" s="157" t="s">
        <v>313</v>
      </c>
      <c r="D19" s="139"/>
      <c r="E19" s="139">
        <v>0.11850076000000001</v>
      </c>
      <c r="F19" s="139">
        <v>0.11850076000000001</v>
      </c>
      <c r="G19" s="15"/>
      <c r="H19" s="159">
        <v>0.12324079040000001</v>
      </c>
      <c r="I19" s="15"/>
      <c r="J19" s="159">
        <v>0.12817042201600001</v>
      </c>
    </row>
    <row r="20" spans="2:10" s="13" customFormat="1" ht="15" x14ac:dyDescent="0.2">
      <c r="B20" s="158">
        <f t="shared" si="0"/>
        <v>12</v>
      </c>
      <c r="C20" s="157" t="s">
        <v>312</v>
      </c>
      <c r="D20" s="139"/>
      <c r="E20" s="139">
        <v>0</v>
      </c>
      <c r="F20" s="139">
        <v>0</v>
      </c>
      <c r="G20" s="15"/>
      <c r="H20" s="159">
        <v>0</v>
      </c>
      <c r="I20" s="15"/>
      <c r="J20" s="159">
        <v>0</v>
      </c>
    </row>
    <row r="21" spans="2:10" x14ac:dyDescent="0.2">
      <c r="B21" s="158">
        <f t="shared" si="0"/>
        <v>13</v>
      </c>
      <c r="C21" s="157" t="s">
        <v>317</v>
      </c>
      <c r="D21" s="139"/>
      <c r="E21" s="139">
        <v>2.3296965350656719E-3</v>
      </c>
      <c r="F21" s="139">
        <v>2.3296965350656719E-3</v>
      </c>
      <c r="G21" s="21"/>
      <c r="H21" s="120">
        <v>2.4228843964682993E-3</v>
      </c>
      <c r="I21" s="21"/>
      <c r="J21" s="120">
        <v>2.5197997723270314E-3</v>
      </c>
    </row>
    <row r="22" spans="2:10" x14ac:dyDescent="0.2">
      <c r="B22" s="158">
        <f t="shared" si="0"/>
        <v>14</v>
      </c>
      <c r="C22" s="157" t="s">
        <v>321</v>
      </c>
      <c r="D22" s="139"/>
      <c r="E22" s="139">
        <v>7.5336966221863115E-3</v>
      </c>
      <c r="F22" s="139">
        <v>7.5336966221863115E-3</v>
      </c>
      <c r="G22" s="21"/>
      <c r="H22" s="120">
        <v>7.8350444870737643E-3</v>
      </c>
      <c r="I22" s="21"/>
      <c r="J22" s="120">
        <v>8.1484462665567144E-3</v>
      </c>
    </row>
    <row r="23" spans="2:10" x14ac:dyDescent="0.2">
      <c r="B23" s="158">
        <f t="shared" si="0"/>
        <v>15</v>
      </c>
      <c r="C23" s="157" t="s">
        <v>325</v>
      </c>
      <c r="D23" s="139"/>
      <c r="E23" s="139">
        <v>3.9114435495477433E-2</v>
      </c>
      <c r="F23" s="139">
        <v>3.9114435495477433E-2</v>
      </c>
      <c r="G23" s="21"/>
      <c r="H23" s="120">
        <v>4.0679012915296527E-2</v>
      </c>
      <c r="I23" s="21"/>
      <c r="J23" s="120">
        <v>4.2306173431908387E-2</v>
      </c>
    </row>
    <row r="24" spans="2:10" x14ac:dyDescent="0.2">
      <c r="B24" s="158">
        <f t="shared" si="0"/>
        <v>16</v>
      </c>
      <c r="C24" s="157" t="s">
        <v>326</v>
      </c>
      <c r="D24" s="139"/>
      <c r="E24" s="139">
        <v>1.9613708625405919E-3</v>
      </c>
      <c r="F24" s="139">
        <v>1.9613708625405919E-3</v>
      </c>
      <c r="G24" s="21"/>
      <c r="H24" s="120">
        <v>2.0398256970422159E-3</v>
      </c>
      <c r="I24" s="21"/>
      <c r="J24" s="120">
        <v>2.1214187249239047E-3</v>
      </c>
    </row>
    <row r="25" spans="2:10" ht="15.75" customHeight="1" x14ac:dyDescent="0.2">
      <c r="B25" s="158">
        <f t="shared" si="0"/>
        <v>17</v>
      </c>
      <c r="C25" s="157" t="s">
        <v>322</v>
      </c>
      <c r="D25" s="140">
        <f>SUM(D9:D20)</f>
        <v>0</v>
      </c>
      <c r="E25" s="139">
        <v>4.3619757080086219E-3</v>
      </c>
      <c r="F25" s="139">
        <v>4.3619757080086219E-3</v>
      </c>
      <c r="G25" s="29"/>
      <c r="H25" s="115">
        <v>4.5364547363289679E-3</v>
      </c>
      <c r="I25" s="29"/>
      <c r="J25" s="115">
        <v>4.7179129257821266E-3</v>
      </c>
    </row>
    <row r="26" spans="2:10" s="32" customFormat="1" ht="15" x14ac:dyDescent="0.2">
      <c r="B26" s="158">
        <f t="shared" si="0"/>
        <v>18</v>
      </c>
      <c r="C26" s="157" t="s">
        <v>320</v>
      </c>
      <c r="D26" s="140"/>
      <c r="E26" s="139">
        <v>8.1262875135306828E-5</v>
      </c>
      <c r="F26" s="139">
        <v>8.1262875135306828E-5</v>
      </c>
      <c r="G26" s="29"/>
      <c r="H26" s="115">
        <v>6.0324563531454411E-3</v>
      </c>
      <c r="I26" s="29"/>
      <c r="J26" s="115">
        <v>6.2737546072712588E-3</v>
      </c>
    </row>
    <row r="27" spans="2:10" s="32" customFormat="1" ht="15" x14ac:dyDescent="0.2">
      <c r="B27" s="158">
        <f t="shared" si="0"/>
        <v>19</v>
      </c>
      <c r="C27" s="157" t="s">
        <v>319</v>
      </c>
      <c r="D27" s="140"/>
      <c r="E27" s="139">
        <v>5.5000000000000003E-4</v>
      </c>
      <c r="F27" s="139">
        <v>5.5000000000000003E-4</v>
      </c>
      <c r="G27" s="29"/>
      <c r="H27" s="115">
        <v>5.7200000000000003E-4</v>
      </c>
      <c r="I27" s="29"/>
      <c r="J27" s="115">
        <v>5.9488E-4</v>
      </c>
    </row>
    <row r="28" spans="2:10" x14ac:dyDescent="0.2">
      <c r="B28" s="20"/>
      <c r="C28" s="66"/>
      <c r="D28" s="67"/>
      <c r="E28" s="29"/>
      <c r="F28" s="29"/>
      <c r="G28" s="39"/>
      <c r="H28" s="39"/>
      <c r="I28" s="39"/>
      <c r="J28" s="39"/>
    </row>
    <row r="29" spans="2:10" ht="15" x14ac:dyDescent="0.2">
      <c r="B29" s="20"/>
      <c r="C29" s="31" t="s">
        <v>127</v>
      </c>
      <c r="D29" s="107">
        <v>0.17</v>
      </c>
      <c r="E29" s="107">
        <f>ROUND(SUM(E9:E27),2)</f>
        <v>0.31</v>
      </c>
      <c r="F29" s="107">
        <f>ROUND(SUM(F9:F27),2)</f>
        <v>0.31</v>
      </c>
      <c r="G29" s="107">
        <v>0.18</v>
      </c>
      <c r="H29" s="107">
        <f>ROUND(SUM(H9:H27),2)</f>
        <v>0.33</v>
      </c>
      <c r="I29" s="107">
        <v>0.19</v>
      </c>
      <c r="J29" s="107">
        <f>ROUND(SUM(J9:J27),2)</f>
        <v>0.35</v>
      </c>
    </row>
  </sheetData>
  <mergeCells count="5">
    <mergeCell ref="I6:J6"/>
    <mergeCell ref="B6:B8"/>
    <mergeCell ref="C6:C8"/>
    <mergeCell ref="D6:F6"/>
    <mergeCell ref="G6:H6"/>
  </mergeCells>
  <pageMargins left="0.27" right="0.25" top="0.25" bottom="1" header="0.25" footer="0.2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31"/>
  <sheetViews>
    <sheetView showGridLines="0" view="pageBreakPreview" zoomScaleNormal="93" zoomScaleSheetLayoutView="100" workbookViewId="0">
      <selection activeCell="D3" sqref="D3"/>
    </sheetView>
  </sheetViews>
  <sheetFormatPr defaultColWidth="9.28515625" defaultRowHeight="14.25" x14ac:dyDescent="0.2"/>
  <cols>
    <col min="1" max="1" width="3.28515625" style="5" customWidth="1"/>
    <col min="2" max="2" width="8.28515625" style="5" customWidth="1"/>
    <col min="3" max="3" width="26.7109375" style="5" customWidth="1"/>
    <col min="4" max="4" width="15.7109375" style="5" customWidth="1"/>
    <col min="5" max="5" width="18" style="5" bestFit="1" customWidth="1"/>
    <col min="6" max="6" width="15.7109375" style="5" customWidth="1"/>
    <col min="7" max="16384" width="9.28515625" style="5"/>
  </cols>
  <sheetData>
    <row r="2" spans="2:6" ht="15" x14ac:dyDescent="0.2">
      <c r="B2" s="227" t="s">
        <v>304</v>
      </c>
      <c r="C2" s="227"/>
      <c r="D2" s="227"/>
      <c r="E2" s="227"/>
      <c r="F2" s="227"/>
    </row>
    <row r="3" spans="2:6" ht="15" x14ac:dyDescent="0.2">
      <c r="B3" s="35"/>
      <c r="C3" s="35"/>
      <c r="D3" s="35" t="str">
        <f>'F1'!$F$3</f>
        <v>Lower Jurala HES</v>
      </c>
      <c r="E3" s="35"/>
      <c r="F3" s="35"/>
    </row>
    <row r="4" spans="2:6" ht="14.25" customHeight="1" x14ac:dyDescent="0.2">
      <c r="B4" s="227" t="s">
        <v>266</v>
      </c>
      <c r="C4" s="227"/>
      <c r="D4" s="227"/>
      <c r="E4" s="227"/>
      <c r="F4" s="227"/>
    </row>
    <row r="5" spans="2:6" ht="15" x14ac:dyDescent="0.2">
      <c r="B5" s="24"/>
      <c r="C5" s="70"/>
      <c r="D5" s="71"/>
    </row>
    <row r="6" spans="2:6" ht="15" customHeight="1" x14ac:dyDescent="0.2">
      <c r="B6" s="229" t="s">
        <v>2</v>
      </c>
      <c r="C6" s="234" t="s">
        <v>18</v>
      </c>
      <c r="D6" s="124" t="s">
        <v>305</v>
      </c>
      <c r="E6" s="23" t="s">
        <v>306</v>
      </c>
      <c r="F6" s="23" t="s">
        <v>332</v>
      </c>
    </row>
    <row r="7" spans="2:6" ht="15" x14ac:dyDescent="0.2">
      <c r="B7" s="229"/>
      <c r="C7" s="234"/>
      <c r="D7" s="15" t="s">
        <v>265</v>
      </c>
      <c r="E7" s="15" t="s">
        <v>211</v>
      </c>
      <c r="F7" s="15" t="s">
        <v>211</v>
      </c>
    </row>
    <row r="8" spans="2:6" ht="24.75" customHeight="1" x14ac:dyDescent="0.2">
      <c r="B8" s="240"/>
      <c r="C8" s="241"/>
      <c r="D8" s="15" t="s">
        <v>3</v>
      </c>
      <c r="E8" s="15" t="s">
        <v>5</v>
      </c>
      <c r="F8" s="15" t="s">
        <v>8</v>
      </c>
    </row>
    <row r="9" spans="2:6" ht="15" x14ac:dyDescent="0.2">
      <c r="B9" s="72">
        <v>1</v>
      </c>
      <c r="C9" s="73" t="s">
        <v>146</v>
      </c>
      <c r="D9" s="69"/>
      <c r="E9" s="69"/>
      <c r="F9" s="27"/>
    </row>
    <row r="10" spans="2:6" s="32" customFormat="1" ht="15" x14ac:dyDescent="0.2">
      <c r="B10" s="74" t="s">
        <v>45</v>
      </c>
      <c r="C10" s="38" t="s">
        <v>46</v>
      </c>
      <c r="D10" s="75"/>
      <c r="E10" s="38"/>
      <c r="F10" s="38"/>
    </row>
    <row r="11" spans="2:6" s="32" customFormat="1" ht="15" x14ac:dyDescent="0.2">
      <c r="B11" s="76"/>
      <c r="C11" s="29" t="s">
        <v>47</v>
      </c>
      <c r="D11" s="75"/>
      <c r="E11" s="38"/>
      <c r="F11" s="38"/>
    </row>
    <row r="12" spans="2:6" s="32" customFormat="1" ht="15" x14ac:dyDescent="0.2">
      <c r="B12" s="76"/>
      <c r="C12" s="29" t="s">
        <v>48</v>
      </c>
      <c r="D12" s="75"/>
      <c r="E12" s="38"/>
      <c r="F12" s="38"/>
    </row>
    <row r="13" spans="2:6" s="32" customFormat="1" ht="15" x14ac:dyDescent="0.2">
      <c r="B13" s="76"/>
      <c r="C13" s="29" t="s">
        <v>49</v>
      </c>
      <c r="D13" s="75" t="s">
        <v>329</v>
      </c>
      <c r="E13" s="38"/>
      <c r="F13" s="38"/>
    </row>
    <row r="14" spans="2:6" s="32" customFormat="1" ht="15" x14ac:dyDescent="0.2">
      <c r="B14" s="76"/>
      <c r="C14" s="77"/>
      <c r="D14" s="75"/>
      <c r="E14" s="38"/>
      <c r="F14" s="38"/>
    </row>
    <row r="15" spans="2:6" s="32" customFormat="1" ht="15" x14ac:dyDescent="0.2">
      <c r="B15" s="74" t="s">
        <v>50</v>
      </c>
      <c r="C15" s="78" t="s">
        <v>51</v>
      </c>
      <c r="D15" s="75"/>
      <c r="E15" s="38"/>
      <c r="F15" s="38"/>
    </row>
    <row r="16" spans="2:6" s="32" customFormat="1" ht="15" x14ac:dyDescent="0.2">
      <c r="B16" s="76"/>
      <c r="C16" s="29" t="s">
        <v>47</v>
      </c>
      <c r="D16" s="75"/>
      <c r="E16" s="38"/>
      <c r="F16" s="38"/>
    </row>
    <row r="17" spans="2:6" x14ac:dyDescent="0.2">
      <c r="B17" s="76"/>
      <c r="C17" s="29" t="s">
        <v>48</v>
      </c>
      <c r="D17" s="75"/>
      <c r="E17" s="27"/>
      <c r="F17" s="27"/>
    </row>
    <row r="18" spans="2:6" x14ac:dyDescent="0.2">
      <c r="B18" s="79"/>
      <c r="C18" s="29" t="s">
        <v>52</v>
      </c>
      <c r="D18" s="75"/>
      <c r="E18" s="27"/>
      <c r="F18" s="27"/>
    </row>
    <row r="19" spans="2:6" ht="15" x14ac:dyDescent="0.2">
      <c r="B19" s="79"/>
      <c r="C19" s="78"/>
      <c r="D19" s="75"/>
      <c r="E19" s="27"/>
      <c r="F19" s="27"/>
    </row>
    <row r="20" spans="2:6" ht="17.25" customHeight="1" x14ac:dyDescent="0.2">
      <c r="B20" s="74">
        <v>2</v>
      </c>
      <c r="C20" s="73" t="s">
        <v>147</v>
      </c>
      <c r="D20" s="75"/>
      <c r="E20" s="27"/>
      <c r="F20" s="27"/>
    </row>
    <row r="21" spans="2:6" ht="17.25" customHeight="1" x14ac:dyDescent="0.2">
      <c r="B21" s="74"/>
      <c r="C21" s="73" t="s">
        <v>53</v>
      </c>
      <c r="D21" s="75"/>
      <c r="E21" s="27"/>
      <c r="F21" s="27"/>
    </row>
    <row r="22" spans="2:6" ht="17.25" customHeight="1" x14ac:dyDescent="0.2">
      <c r="B22" s="74"/>
      <c r="C22" s="73" t="s">
        <v>53</v>
      </c>
      <c r="D22" s="75"/>
      <c r="E22" s="27"/>
      <c r="F22" s="27"/>
    </row>
    <row r="23" spans="2:6" ht="15" x14ac:dyDescent="0.2">
      <c r="B23" s="76"/>
      <c r="C23" s="78" t="s">
        <v>54</v>
      </c>
      <c r="D23" s="75"/>
      <c r="E23" s="27"/>
      <c r="F23" s="27"/>
    </row>
    <row r="25" spans="2:6" ht="15" x14ac:dyDescent="0.2">
      <c r="B25" s="80" t="s">
        <v>43</v>
      </c>
      <c r="C25" s="81"/>
      <c r="D25" s="81"/>
      <c r="E25" s="81"/>
    </row>
    <row r="26" spans="2:6" x14ac:dyDescent="0.2">
      <c r="B26" s="5" t="s">
        <v>184</v>
      </c>
      <c r="D26" s="82"/>
      <c r="E26" s="81"/>
    </row>
    <row r="27" spans="2:6" ht="18" customHeight="1" x14ac:dyDescent="0.2">
      <c r="B27" s="81"/>
      <c r="E27" s="81"/>
    </row>
    <row r="28" spans="2:6" x14ac:dyDescent="0.2">
      <c r="B28" s="81"/>
      <c r="C28" s="81"/>
      <c r="D28" s="81"/>
      <c r="E28" s="81"/>
    </row>
    <row r="29" spans="2:6" x14ac:dyDescent="0.2">
      <c r="B29" s="81"/>
      <c r="C29" s="81"/>
      <c r="D29" s="81"/>
      <c r="E29" s="81"/>
    </row>
    <row r="30" spans="2:6" x14ac:dyDescent="0.2">
      <c r="B30" s="81"/>
      <c r="C30" s="81"/>
      <c r="D30" s="81"/>
      <c r="E30" s="81"/>
    </row>
    <row r="31" spans="2:6" x14ac:dyDescent="0.2">
      <c r="B31" s="81"/>
      <c r="C31" s="81"/>
      <c r="D31" s="81"/>
      <c r="E31" s="81"/>
    </row>
  </sheetData>
  <mergeCells count="4">
    <mergeCell ref="B6:B8"/>
    <mergeCell ref="C6:C8"/>
    <mergeCell ref="B4:F4"/>
    <mergeCell ref="B2:F2"/>
  </mergeCells>
  <pageMargins left="0.75" right="0.75" top="1" bottom="1" header="0.5" footer="0.5"/>
  <pageSetup paperSize="9" scale="9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showGridLines="0" view="pageBreakPreview" topLeftCell="A12" zoomScale="81" zoomScaleNormal="93" zoomScaleSheetLayoutView="81" workbookViewId="0">
      <selection activeCell="P29" sqref="P29"/>
    </sheetView>
  </sheetViews>
  <sheetFormatPr defaultColWidth="9.28515625" defaultRowHeight="14.25" x14ac:dyDescent="0.2"/>
  <cols>
    <col min="1" max="1" width="4.28515625" style="5" customWidth="1"/>
    <col min="2" max="2" width="30.42578125" style="5" customWidth="1"/>
    <col min="3" max="15" width="10.7109375" style="5" customWidth="1"/>
    <col min="16" max="16384" width="9.28515625" style="5"/>
  </cols>
  <sheetData>
    <row r="1" spans="1:17" ht="15" x14ac:dyDescent="0.2">
      <c r="B1" s="89"/>
    </row>
    <row r="2" spans="1:17" ht="15" x14ac:dyDescent="0.2">
      <c r="I2" s="32" t="s">
        <v>304</v>
      </c>
    </row>
    <row r="3" spans="1:17" ht="15" x14ac:dyDescent="0.2">
      <c r="I3" s="32" t="s">
        <v>335</v>
      </c>
    </row>
    <row r="4" spans="1:17" ht="15" x14ac:dyDescent="0.2">
      <c r="C4" s="70"/>
      <c r="D4" s="70"/>
      <c r="E4" s="70"/>
      <c r="F4" s="70"/>
      <c r="G4" s="70"/>
      <c r="H4" s="70"/>
      <c r="I4" s="35" t="s">
        <v>272</v>
      </c>
    </row>
    <row r="5" spans="1:17" ht="15" x14ac:dyDescent="0.2">
      <c r="B5" s="24" t="s">
        <v>305</v>
      </c>
      <c r="C5" s="70"/>
      <c r="D5" s="70"/>
      <c r="E5" s="70"/>
      <c r="F5" s="70"/>
      <c r="G5" s="70"/>
      <c r="H5" s="70"/>
      <c r="I5" s="35"/>
    </row>
    <row r="6" spans="1:17" ht="15" x14ac:dyDescent="0.2">
      <c r="B6" s="24" t="s">
        <v>12</v>
      </c>
      <c r="C6" s="25"/>
      <c r="D6" s="25"/>
      <c r="O6" s="25" t="s">
        <v>128</v>
      </c>
    </row>
    <row r="7" spans="1:17" s="32" customFormat="1" ht="15" customHeight="1" x14ac:dyDescent="0.2">
      <c r="B7" s="169" t="s">
        <v>273</v>
      </c>
      <c r="C7" s="169" t="s">
        <v>129</v>
      </c>
      <c r="D7" s="169" t="s">
        <v>130</v>
      </c>
      <c r="E7" s="170" t="s">
        <v>131</v>
      </c>
      <c r="F7" s="170" t="s">
        <v>132</v>
      </c>
      <c r="G7" s="170" t="s">
        <v>133</v>
      </c>
      <c r="H7" s="170" t="s">
        <v>134</v>
      </c>
      <c r="I7" s="170" t="s">
        <v>135</v>
      </c>
      <c r="J7" s="170" t="s">
        <v>136</v>
      </c>
      <c r="K7" s="170" t="s">
        <v>137</v>
      </c>
      <c r="L7" s="170" t="s">
        <v>138</v>
      </c>
      <c r="M7" s="170" t="s">
        <v>139</v>
      </c>
      <c r="N7" s="170" t="s">
        <v>140</v>
      </c>
      <c r="O7" s="170" t="s">
        <v>127</v>
      </c>
    </row>
    <row r="8" spans="1:17" s="32" customFormat="1" ht="15" x14ac:dyDescent="0.2">
      <c r="B8" s="144" t="s">
        <v>347</v>
      </c>
      <c r="C8" s="143">
        <f>-0.19*0.7055</f>
        <v>-0.134045</v>
      </c>
      <c r="D8" s="143">
        <f>-0.22*0.7055</f>
        <v>-0.15521000000000001</v>
      </c>
      <c r="E8" s="143">
        <f>-0.02*0.7055</f>
        <v>-1.4110000000000001E-2</v>
      </c>
      <c r="F8" s="143">
        <f>32.02*0.7055</f>
        <v>22.590110000000003</v>
      </c>
      <c r="G8" s="143">
        <f>64.9*0.7055</f>
        <v>45.786950000000004</v>
      </c>
      <c r="H8" s="143">
        <f>86.92*0.7055</f>
        <v>61.32206</v>
      </c>
      <c r="I8" s="143">
        <f>123.65*0.7055</f>
        <v>87.235075000000009</v>
      </c>
      <c r="J8" s="143">
        <f>16.62*0.7055</f>
        <v>11.72541</v>
      </c>
      <c r="K8" s="143">
        <f>0.07*0.7055</f>
        <v>4.9385000000000005E-2</v>
      </c>
      <c r="L8" s="143">
        <f>0.02*0.7055</f>
        <v>1.4110000000000001E-2</v>
      </c>
      <c r="M8" s="143">
        <f>-0.19*0.7055</f>
        <v>-0.134045</v>
      </c>
      <c r="N8" s="143">
        <f>-0.22*0.7055</f>
        <v>-0.15521000000000001</v>
      </c>
      <c r="O8" s="171">
        <f>SUM(C8:N8)</f>
        <v>228.13048000000001</v>
      </c>
    </row>
    <row r="9" spans="1:17" s="32" customFormat="1" ht="15" x14ac:dyDescent="0.2">
      <c r="B9" s="144"/>
      <c r="C9" s="172"/>
      <c r="D9" s="172"/>
      <c r="E9" s="172"/>
      <c r="F9" s="172"/>
      <c r="G9" s="172"/>
      <c r="H9" s="172"/>
      <c r="I9" s="172"/>
      <c r="J9" s="172"/>
      <c r="K9" s="172"/>
      <c r="L9" s="172"/>
      <c r="M9" s="172"/>
      <c r="N9" s="172"/>
      <c r="O9" s="171"/>
    </row>
    <row r="10" spans="1:17" s="32" customFormat="1" ht="15" x14ac:dyDescent="0.2">
      <c r="B10" s="144" t="s">
        <v>348</v>
      </c>
      <c r="C10" s="143">
        <f>-0.19*0.2945</f>
        <v>-5.5954999999999998E-2</v>
      </c>
      <c r="D10" s="143">
        <f>-0.22*0.2945</f>
        <v>-6.479E-2</v>
      </c>
      <c r="E10" s="143">
        <f>-0.02*0.2945</f>
        <v>-5.8899999999999994E-3</v>
      </c>
      <c r="F10" s="143">
        <f>32.02*0.2945</f>
        <v>9.4298900000000003</v>
      </c>
      <c r="G10" s="143">
        <f>64.9*0.2945</f>
        <v>19.113050000000001</v>
      </c>
      <c r="H10" s="143">
        <f>86.92*0.2945</f>
        <v>25.597939999999998</v>
      </c>
      <c r="I10" s="143">
        <f>123.65*0.2945</f>
        <v>36.414924999999997</v>
      </c>
      <c r="J10" s="143">
        <f>16.62*0.2945</f>
        <v>4.89459</v>
      </c>
      <c r="K10" s="143">
        <f>0.07*0.2945</f>
        <v>2.0615000000000001E-2</v>
      </c>
      <c r="L10" s="143">
        <f>0.02*0.2945</f>
        <v>5.8899999999999994E-3</v>
      </c>
      <c r="M10" s="143">
        <f>-0.19*0.2945</f>
        <v>-5.5954999999999998E-2</v>
      </c>
      <c r="N10" s="143">
        <f>-0.22*0.2945</f>
        <v>-6.479E-2</v>
      </c>
      <c r="O10" s="171">
        <f>SUM(C10:N10)</f>
        <v>95.229519999999994</v>
      </c>
    </row>
    <row r="11" spans="1:17" x14ac:dyDescent="0.2">
      <c r="B11" s="173"/>
      <c r="C11" s="174"/>
      <c r="D11" s="174"/>
      <c r="E11" s="174"/>
      <c r="F11" s="174"/>
      <c r="G11" s="174"/>
      <c r="H11" s="174"/>
      <c r="I11" s="174"/>
      <c r="J11" s="174"/>
      <c r="K11" s="174"/>
      <c r="L11" s="174"/>
      <c r="M11" s="174"/>
      <c r="N11" s="174"/>
      <c r="O11" s="174"/>
    </row>
    <row r="12" spans="1:17" ht="15" x14ac:dyDescent="0.2">
      <c r="B12" s="172" t="s">
        <v>127</v>
      </c>
      <c r="C12" s="175">
        <f>C8+C10</f>
        <v>-0.19</v>
      </c>
      <c r="D12" s="175">
        <f t="shared" ref="D12:O12" si="0">D8+D10</f>
        <v>-0.22000000000000003</v>
      </c>
      <c r="E12" s="175">
        <f t="shared" si="0"/>
        <v>-0.02</v>
      </c>
      <c r="F12" s="175">
        <f t="shared" si="0"/>
        <v>32.020000000000003</v>
      </c>
      <c r="G12" s="175">
        <f t="shared" si="0"/>
        <v>64.900000000000006</v>
      </c>
      <c r="H12" s="175">
        <f t="shared" si="0"/>
        <v>86.92</v>
      </c>
      <c r="I12" s="175">
        <f t="shared" si="0"/>
        <v>123.65</v>
      </c>
      <c r="J12" s="175">
        <f t="shared" si="0"/>
        <v>16.62</v>
      </c>
      <c r="K12" s="175">
        <f t="shared" si="0"/>
        <v>7.0000000000000007E-2</v>
      </c>
      <c r="L12" s="175">
        <f t="shared" si="0"/>
        <v>0.02</v>
      </c>
      <c r="M12" s="175">
        <f t="shared" si="0"/>
        <v>-0.19</v>
      </c>
      <c r="N12" s="175">
        <f>N8+N10</f>
        <v>-0.22000000000000003</v>
      </c>
      <c r="O12" s="175">
        <f t="shared" si="0"/>
        <v>323.36</v>
      </c>
    </row>
    <row r="13" spans="1:17" ht="16.5" x14ac:dyDescent="0.2">
      <c r="B13" s="24"/>
      <c r="C13" s="70"/>
      <c r="D13" s="70"/>
      <c r="E13" s="70"/>
      <c r="F13" s="70"/>
      <c r="G13" s="70"/>
      <c r="H13" s="70"/>
      <c r="I13" s="83"/>
    </row>
    <row r="14" spans="1:17" ht="16.5" x14ac:dyDescent="0.2">
      <c r="B14" s="24" t="s">
        <v>306</v>
      </c>
      <c r="C14" s="70"/>
      <c r="D14" s="70"/>
      <c r="E14" s="70"/>
      <c r="F14" s="70"/>
      <c r="G14" s="70"/>
      <c r="H14" s="70"/>
      <c r="I14" s="70"/>
      <c r="J14" s="70"/>
      <c r="K14" s="70"/>
      <c r="L14" s="70"/>
      <c r="M14" s="70"/>
      <c r="N14" s="70"/>
      <c r="O14" s="35"/>
      <c r="P14" s="83"/>
    </row>
    <row r="15" spans="1:17" ht="16.5" x14ac:dyDescent="0.2">
      <c r="A15" s="5" t="s">
        <v>271</v>
      </c>
      <c r="B15" s="24" t="s">
        <v>5</v>
      </c>
      <c r="C15" s="25"/>
      <c r="D15" s="25"/>
      <c r="O15" s="25"/>
      <c r="P15" s="83"/>
    </row>
    <row r="16" spans="1:17" ht="18.75" customHeight="1" x14ac:dyDescent="0.2">
      <c r="B16" s="230" t="s">
        <v>273</v>
      </c>
      <c r="C16" s="242" t="s">
        <v>141</v>
      </c>
      <c r="D16" s="238"/>
      <c r="E16" s="238"/>
      <c r="F16" s="238"/>
      <c r="G16" s="238"/>
      <c r="H16" s="239"/>
      <c r="I16" s="242" t="s">
        <v>5</v>
      </c>
      <c r="J16" s="238"/>
      <c r="K16" s="238"/>
      <c r="L16" s="238"/>
      <c r="M16" s="238"/>
      <c r="N16" s="239"/>
      <c r="O16" s="169" t="s">
        <v>142</v>
      </c>
      <c r="P16" s="83"/>
      <c r="Q16" s="83"/>
    </row>
    <row r="17" spans="2:16" ht="15" x14ac:dyDescent="0.2">
      <c r="B17" s="232"/>
      <c r="C17" s="169" t="s">
        <v>129</v>
      </c>
      <c r="D17" s="169" t="s">
        <v>130</v>
      </c>
      <c r="E17" s="170" t="s">
        <v>131</v>
      </c>
      <c r="F17" s="170" t="s">
        <v>132</v>
      </c>
      <c r="G17" s="170" t="s">
        <v>133</v>
      </c>
      <c r="H17" s="170" t="s">
        <v>134</v>
      </c>
      <c r="I17" s="170" t="s">
        <v>135</v>
      </c>
      <c r="J17" s="170" t="s">
        <v>136</v>
      </c>
      <c r="K17" s="170" t="s">
        <v>137</v>
      </c>
      <c r="L17" s="170" t="s">
        <v>138</v>
      </c>
      <c r="M17" s="170" t="s">
        <v>139</v>
      </c>
      <c r="N17" s="170" t="s">
        <v>140</v>
      </c>
      <c r="O17" s="176"/>
    </row>
    <row r="18" spans="2:16" s="32" customFormat="1" ht="15" x14ac:dyDescent="0.2">
      <c r="B18" s="144" t="s">
        <v>347</v>
      </c>
      <c r="C18" s="143">
        <v>-0.18343000000000001</v>
      </c>
      <c r="D18" s="143">
        <v>2.292875</v>
      </c>
      <c r="E18" s="143">
        <v>58.634104999999998</v>
      </c>
      <c r="F18" s="143">
        <v>85.70414000000001</v>
      </c>
      <c r="G18" s="143">
        <v>56.327120000000001</v>
      </c>
      <c r="H18" s="143">
        <v>51.699040000000004</v>
      </c>
      <c r="I18" s="143">
        <v>65.837312551210445</v>
      </c>
      <c r="J18" s="143">
        <v>26.334925020484171</v>
      </c>
      <c r="K18" s="143">
        <v>0.69302434264432045</v>
      </c>
      <c r="L18" s="143">
        <v>0.69302434264432045</v>
      </c>
      <c r="M18" s="143">
        <v>0</v>
      </c>
      <c r="N18" s="143">
        <v>0</v>
      </c>
      <c r="O18" s="143">
        <v>348.03213625698328</v>
      </c>
    </row>
    <row r="19" spans="2:16" s="32" customFormat="1" ht="15" x14ac:dyDescent="0.2">
      <c r="B19" s="144"/>
      <c r="C19" s="143"/>
      <c r="D19" s="143"/>
      <c r="E19" s="143"/>
      <c r="F19" s="143"/>
      <c r="G19" s="143"/>
      <c r="H19" s="143"/>
      <c r="I19" s="172"/>
      <c r="J19" s="172"/>
      <c r="K19" s="172"/>
      <c r="L19" s="172"/>
      <c r="M19" s="172"/>
      <c r="N19" s="172"/>
      <c r="O19" s="143"/>
    </row>
    <row r="20" spans="2:16" s="32" customFormat="1" ht="15" x14ac:dyDescent="0.2">
      <c r="B20" s="144" t="s">
        <v>348</v>
      </c>
      <c r="C20" s="143">
        <v>-7.6569999999999999E-2</v>
      </c>
      <c r="D20" s="143">
        <v>0.957125</v>
      </c>
      <c r="E20" s="143">
        <v>24.475894999999998</v>
      </c>
      <c r="F20" s="143">
        <v>35.775860000000002</v>
      </c>
      <c r="G20" s="143">
        <v>23.512879999999999</v>
      </c>
      <c r="H20" s="143">
        <v>21.580959999999997</v>
      </c>
      <c r="I20" s="143">
        <v>27.482761936685293</v>
      </c>
      <c r="J20" s="143">
        <v>10.993104774674114</v>
      </c>
      <c r="K20" s="143">
        <v>0.28929223091247674</v>
      </c>
      <c r="L20" s="143">
        <v>0.28929223091247674</v>
      </c>
      <c r="M20" s="143">
        <v>0</v>
      </c>
      <c r="N20" s="143">
        <v>0</v>
      </c>
      <c r="O20" s="143">
        <v>145.28060117318438</v>
      </c>
    </row>
    <row r="21" spans="2:16" s="32" customFormat="1" ht="15" x14ac:dyDescent="0.2">
      <c r="B21" s="173"/>
      <c r="C21" s="172"/>
      <c r="D21" s="172"/>
      <c r="E21" s="172"/>
      <c r="F21" s="172"/>
      <c r="G21" s="172"/>
      <c r="H21" s="172"/>
      <c r="I21" s="172"/>
      <c r="J21" s="172"/>
      <c r="K21" s="172"/>
      <c r="L21" s="172"/>
      <c r="M21" s="172"/>
      <c r="N21" s="172"/>
      <c r="O21" s="172"/>
    </row>
    <row r="22" spans="2:16" ht="15" x14ac:dyDescent="0.2">
      <c r="B22" s="172" t="s">
        <v>127</v>
      </c>
      <c r="C22" s="175">
        <f>C18+C20</f>
        <v>-0.26</v>
      </c>
      <c r="D22" s="175">
        <f t="shared" ref="D22:N22" si="1">D18+D20</f>
        <v>3.25</v>
      </c>
      <c r="E22" s="175">
        <f t="shared" si="1"/>
        <v>83.11</v>
      </c>
      <c r="F22" s="175">
        <f t="shared" si="1"/>
        <v>121.48000000000002</v>
      </c>
      <c r="G22" s="175">
        <f t="shared" si="1"/>
        <v>79.84</v>
      </c>
      <c r="H22" s="175">
        <f>H18+H20</f>
        <v>73.28</v>
      </c>
      <c r="I22" s="175">
        <f t="shared" si="1"/>
        <v>93.320074487895738</v>
      </c>
      <c r="J22" s="175">
        <f t="shared" si="1"/>
        <v>37.328029795158287</v>
      </c>
      <c r="K22" s="175">
        <f t="shared" si="1"/>
        <v>0.98231657355679713</v>
      </c>
      <c r="L22" s="175">
        <f>L18+L20</f>
        <v>0.98231657355679713</v>
      </c>
      <c r="M22" s="175">
        <f t="shared" si="1"/>
        <v>0</v>
      </c>
      <c r="N22" s="175">
        <f t="shared" si="1"/>
        <v>0</v>
      </c>
      <c r="O22" s="175">
        <f>O18+O20</f>
        <v>493.31273743016766</v>
      </c>
    </row>
    <row r="24" spans="2:16" ht="16.5" x14ac:dyDescent="0.2">
      <c r="B24" s="24"/>
      <c r="C24" s="70"/>
      <c r="D24" s="70"/>
      <c r="E24" s="70"/>
      <c r="F24" s="70"/>
      <c r="G24" s="70"/>
      <c r="H24" s="70"/>
      <c r="I24" s="70"/>
      <c r="J24" s="70"/>
      <c r="K24" s="70"/>
      <c r="L24" s="70"/>
      <c r="M24" s="70"/>
      <c r="N24" s="70"/>
      <c r="O24" s="35"/>
      <c r="P24" s="83"/>
    </row>
    <row r="25" spans="2:16" ht="15" x14ac:dyDescent="0.2">
      <c r="B25" s="24" t="s">
        <v>332</v>
      </c>
      <c r="C25" s="70"/>
      <c r="D25" s="70"/>
      <c r="E25" s="70"/>
      <c r="F25" s="70"/>
      <c r="G25" s="70"/>
      <c r="H25" s="70"/>
      <c r="I25" s="35"/>
    </row>
    <row r="26" spans="2:16" ht="15" x14ac:dyDescent="0.2">
      <c r="B26" s="24" t="s">
        <v>8</v>
      </c>
      <c r="C26" s="25"/>
      <c r="D26" s="25"/>
      <c r="O26" s="25"/>
    </row>
    <row r="27" spans="2:16" ht="15" x14ac:dyDescent="0.2">
      <c r="B27" s="169" t="s">
        <v>273</v>
      </c>
      <c r="C27" s="169" t="s">
        <v>129</v>
      </c>
      <c r="D27" s="169" t="s">
        <v>130</v>
      </c>
      <c r="E27" s="170" t="s">
        <v>131</v>
      </c>
      <c r="F27" s="170" t="s">
        <v>132</v>
      </c>
      <c r="G27" s="170" t="s">
        <v>133</v>
      </c>
      <c r="H27" s="170" t="s">
        <v>134</v>
      </c>
      <c r="I27" s="170" t="s">
        <v>135</v>
      </c>
      <c r="J27" s="170" t="s">
        <v>136</v>
      </c>
      <c r="K27" s="170" t="s">
        <v>137</v>
      </c>
      <c r="L27" s="170" t="s">
        <v>138</v>
      </c>
      <c r="M27" s="170" t="s">
        <v>139</v>
      </c>
      <c r="N27" s="170" t="s">
        <v>140</v>
      </c>
      <c r="O27" s="170" t="s">
        <v>127</v>
      </c>
    </row>
    <row r="28" spans="2:16" ht="15" x14ac:dyDescent="0.2">
      <c r="B28" s="144" t="s">
        <v>347</v>
      </c>
      <c r="C28" s="143">
        <v>3.3062895024532579E-2</v>
      </c>
      <c r="D28" s="143">
        <v>0.37471281027803593</v>
      </c>
      <c r="E28" s="143">
        <v>8.1555141060513705</v>
      </c>
      <c r="F28" s="143">
        <v>28.509858855529242</v>
      </c>
      <c r="G28" s="143">
        <v>45.461480658732306</v>
      </c>
      <c r="H28" s="143">
        <v>55.903845003980493</v>
      </c>
      <c r="I28" s="143">
        <v>53.162379958196347</v>
      </c>
      <c r="J28" s="143">
        <v>13.962185044734902</v>
      </c>
      <c r="K28" s="143">
        <v>0.85412478813375825</v>
      </c>
      <c r="L28" s="143">
        <v>0.22041930016355052</v>
      </c>
      <c r="M28" s="143">
        <v>4.2017429093676818E-2</v>
      </c>
      <c r="N28" s="143">
        <v>0.11020965008177526</v>
      </c>
      <c r="O28" s="143">
        <f>SUM(C28:N28)</f>
        <v>206.78981049999996</v>
      </c>
    </row>
    <row r="29" spans="2:16" ht="15" x14ac:dyDescent="0.2">
      <c r="B29" s="144"/>
      <c r="C29" s="143"/>
      <c r="D29" s="143"/>
      <c r="E29" s="143"/>
      <c r="F29" s="143"/>
      <c r="G29" s="143"/>
      <c r="H29" s="143"/>
      <c r="I29" s="143"/>
      <c r="J29" s="143"/>
      <c r="K29" s="143"/>
      <c r="L29" s="143"/>
      <c r="M29" s="143"/>
      <c r="N29" s="143"/>
      <c r="O29" s="172"/>
    </row>
    <row r="30" spans="2:16" ht="15" x14ac:dyDescent="0.2">
      <c r="B30" s="144" t="s">
        <v>348</v>
      </c>
      <c r="C30" s="143">
        <v>1.3801591190254918E-2</v>
      </c>
      <c r="D30" s="143">
        <v>0.15641803348955574</v>
      </c>
      <c r="E30" s="143">
        <v>3.4043924935962129</v>
      </c>
      <c r="F30" s="143">
        <v>11.900997070096897</v>
      </c>
      <c r="G30" s="143">
        <v>18.977187886600515</v>
      </c>
      <c r="H30" s="143">
        <v>23.336190437522685</v>
      </c>
      <c r="I30" s="143">
        <v>22.191808501330719</v>
      </c>
      <c r="J30" s="143">
        <v>5.8282969463847323</v>
      </c>
      <c r="K30" s="143">
        <v>0.35654110574825199</v>
      </c>
      <c r="L30" s="143">
        <v>9.2010607935032768E-2</v>
      </c>
      <c r="M30" s="143">
        <v>1.7539522137615622E-2</v>
      </c>
      <c r="N30" s="143">
        <v>4.6005303967516384E-2</v>
      </c>
      <c r="O30" s="143">
        <f>SUM(C30:N30)</f>
        <v>86.321189500000003</v>
      </c>
    </row>
    <row r="31" spans="2:16" x14ac:dyDescent="0.2">
      <c r="B31" s="173"/>
      <c r="C31" s="174"/>
      <c r="D31" s="174"/>
      <c r="E31" s="174"/>
      <c r="F31" s="174"/>
      <c r="G31" s="174"/>
      <c r="H31" s="174"/>
      <c r="I31" s="174"/>
      <c r="J31" s="174"/>
      <c r="K31" s="174"/>
      <c r="L31" s="174"/>
      <c r="M31" s="174"/>
      <c r="N31" s="174"/>
      <c r="O31" s="174"/>
    </row>
    <row r="32" spans="2:16" ht="15" x14ac:dyDescent="0.2">
      <c r="B32" s="172" t="s">
        <v>127</v>
      </c>
      <c r="C32" s="175">
        <f>C28+C30</f>
        <v>4.6864486214787497E-2</v>
      </c>
      <c r="D32" s="175">
        <f t="shared" ref="D32:N32" si="2">D28+D30</f>
        <v>0.53113084376759168</v>
      </c>
      <c r="E32" s="175">
        <f t="shared" si="2"/>
        <v>11.559906599647583</v>
      </c>
      <c r="F32" s="175">
        <f t="shared" si="2"/>
        <v>40.410855925626137</v>
      </c>
      <c r="G32" s="175">
        <f t="shared" si="2"/>
        <v>64.438668545332817</v>
      </c>
      <c r="H32" s="175">
        <f t="shared" si="2"/>
        <v>79.240035441503181</v>
      </c>
      <c r="I32" s="175">
        <f t="shared" si="2"/>
        <v>75.354188459527066</v>
      </c>
      <c r="J32" s="175">
        <f t="shared" si="2"/>
        <v>19.790481991119634</v>
      </c>
      <c r="K32" s="175">
        <f>K28+K30</f>
        <v>1.2106658938820103</v>
      </c>
      <c r="L32" s="175">
        <f t="shared" si="2"/>
        <v>0.31242990809858329</v>
      </c>
      <c r="M32" s="175">
        <f t="shared" si="2"/>
        <v>5.955695123129244E-2</v>
      </c>
      <c r="N32" s="175">
        <f t="shared" si="2"/>
        <v>0.15621495404929164</v>
      </c>
      <c r="O32" s="175">
        <f>O28+O30</f>
        <v>293.11099999999999</v>
      </c>
    </row>
  </sheetData>
  <mergeCells count="3">
    <mergeCell ref="B16:B17"/>
    <mergeCell ref="I16:N16"/>
    <mergeCell ref="C16:H16"/>
  </mergeCells>
  <pageMargins left="0.13" right="0.33" top="1" bottom="0.37" header="0.5" footer="0.5"/>
  <pageSetup paperSize="9" scale="83"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9"/>
  <sheetViews>
    <sheetView showGridLines="0" view="pageBreakPreview" topLeftCell="G14" zoomScaleNormal="93" zoomScaleSheetLayoutView="100" workbookViewId="0">
      <selection activeCell="U22" sqref="U22"/>
    </sheetView>
  </sheetViews>
  <sheetFormatPr defaultColWidth="9.28515625" defaultRowHeight="15" x14ac:dyDescent="0.2"/>
  <cols>
    <col min="1" max="1" width="2.42578125" style="13" customWidth="1"/>
    <col min="2" max="2" width="5" style="13" customWidth="1"/>
    <col min="3" max="3" width="40.5703125" style="13" customWidth="1"/>
    <col min="4" max="4" width="13" style="13" customWidth="1"/>
    <col min="5" max="5" width="9.85546875" style="13" customWidth="1"/>
    <col min="6" max="6" width="10.42578125" style="13" customWidth="1"/>
    <col min="7" max="7" width="9" style="13" customWidth="1"/>
    <col min="8" max="8" width="9.7109375" style="13" customWidth="1"/>
    <col min="9" max="9" width="10" style="13" customWidth="1"/>
    <col min="10" max="10" width="11.140625" style="13" customWidth="1"/>
    <col min="11" max="11" width="9.5703125" style="13" customWidth="1"/>
    <col min="12" max="12" width="11.85546875" style="13" customWidth="1"/>
    <col min="13" max="13" width="9.7109375" style="13" customWidth="1"/>
    <col min="14" max="15" width="9" style="13" customWidth="1"/>
    <col min="16" max="16" width="9.28515625" style="13" customWidth="1"/>
    <col min="17" max="17" width="10.42578125" style="26" customWidth="1"/>
    <col min="18" max="16384" width="9.28515625" style="13"/>
  </cols>
  <sheetData>
    <row r="1" spans="2:17" s="5" customFormat="1" ht="15" customHeight="1" x14ac:dyDescent="0.2">
      <c r="Q1" s="25"/>
    </row>
    <row r="2" spans="2:17" s="5" customFormat="1" ht="15" customHeight="1" x14ac:dyDescent="0.2">
      <c r="I2" s="32" t="s">
        <v>304</v>
      </c>
      <c r="Q2" s="25"/>
    </row>
    <row r="3" spans="2:17" s="5" customFormat="1" ht="15" customHeight="1" x14ac:dyDescent="0.2">
      <c r="I3" s="32" t="str">
        <f>'F1'!$F$3</f>
        <v>Lower Jurala HES</v>
      </c>
      <c r="Q3" s="25"/>
    </row>
    <row r="4" spans="2:17" x14ac:dyDescent="0.2">
      <c r="B4" s="24" t="s">
        <v>305</v>
      </c>
      <c r="I4" s="35" t="s">
        <v>276</v>
      </c>
    </row>
    <row r="5" spans="2:17" x14ac:dyDescent="0.2">
      <c r="B5" s="36" t="s">
        <v>12</v>
      </c>
    </row>
    <row r="6" spans="2:17" ht="30" x14ac:dyDescent="0.2">
      <c r="B6" s="91" t="s">
        <v>169</v>
      </c>
      <c r="C6" s="91" t="s">
        <v>18</v>
      </c>
      <c r="D6" s="91" t="s">
        <v>39</v>
      </c>
      <c r="E6" s="31" t="s">
        <v>129</v>
      </c>
      <c r="F6" s="31" t="s">
        <v>130</v>
      </c>
      <c r="G6" s="90" t="s">
        <v>131</v>
      </c>
      <c r="H6" s="90" t="s">
        <v>132</v>
      </c>
      <c r="I6" s="90" t="s">
        <v>133</v>
      </c>
      <c r="J6" s="90" t="s">
        <v>134</v>
      </c>
      <c r="K6" s="90" t="s">
        <v>135</v>
      </c>
      <c r="L6" s="90" t="s">
        <v>136</v>
      </c>
      <c r="M6" s="90" t="s">
        <v>137</v>
      </c>
      <c r="N6" s="90" t="s">
        <v>138</v>
      </c>
      <c r="O6" s="90" t="s">
        <v>139</v>
      </c>
      <c r="P6" s="90" t="s">
        <v>140</v>
      </c>
      <c r="Q6" s="198" t="s">
        <v>127</v>
      </c>
    </row>
    <row r="7" spans="2:17" ht="16.5" x14ac:dyDescent="0.2">
      <c r="B7" s="92">
        <v>1</v>
      </c>
      <c r="C7" s="93" t="s">
        <v>152</v>
      </c>
      <c r="D7" s="92" t="s">
        <v>40</v>
      </c>
      <c r="E7" s="141"/>
      <c r="F7" s="141"/>
      <c r="G7" s="141"/>
      <c r="H7" s="141"/>
      <c r="I7" s="141"/>
      <c r="J7" s="141"/>
      <c r="K7" s="141"/>
      <c r="L7" s="141"/>
      <c r="M7" s="141"/>
      <c r="N7" s="141"/>
      <c r="O7" s="141"/>
      <c r="P7" s="141"/>
      <c r="Q7" s="199"/>
    </row>
    <row r="8" spans="2:17" ht="16.5" x14ac:dyDescent="0.2">
      <c r="B8" s="92">
        <f>B7+1</f>
        <v>2</v>
      </c>
      <c r="C8" s="93" t="s">
        <v>170</v>
      </c>
      <c r="D8" s="92" t="s">
        <v>40</v>
      </c>
      <c r="E8" s="141"/>
      <c r="F8" s="141"/>
      <c r="G8" s="141"/>
      <c r="H8" s="141"/>
      <c r="I8" s="141"/>
      <c r="J8" s="141"/>
      <c r="K8" s="141"/>
      <c r="L8" s="141"/>
      <c r="M8" s="141"/>
      <c r="N8" s="141"/>
      <c r="O8" s="141"/>
      <c r="P8" s="141"/>
      <c r="Q8" s="199"/>
    </row>
    <row r="9" spans="2:17" ht="16.5" x14ac:dyDescent="0.2">
      <c r="B9" s="92">
        <f t="shared" ref="B9:B25" si="0">B8+1</f>
        <v>3</v>
      </c>
      <c r="C9" s="93" t="s">
        <v>171</v>
      </c>
      <c r="D9" s="92" t="s">
        <v>40</v>
      </c>
      <c r="E9" s="141"/>
      <c r="F9" s="141"/>
      <c r="G9" s="141"/>
      <c r="H9" s="141"/>
      <c r="I9" s="141"/>
      <c r="J9" s="141"/>
      <c r="K9" s="141"/>
      <c r="L9" s="141"/>
      <c r="M9" s="141"/>
      <c r="N9" s="141"/>
      <c r="O9" s="141"/>
      <c r="P9" s="141"/>
      <c r="Q9" s="199"/>
    </row>
    <row r="10" spans="2:17" ht="16.5" x14ac:dyDescent="0.2">
      <c r="B10" s="92">
        <f t="shared" si="0"/>
        <v>4</v>
      </c>
      <c r="C10" s="93" t="s">
        <v>41</v>
      </c>
      <c r="D10" s="92" t="s">
        <v>40</v>
      </c>
      <c r="E10" s="141"/>
      <c r="F10" s="141"/>
      <c r="G10" s="141"/>
      <c r="H10" s="141"/>
      <c r="I10" s="141"/>
      <c r="J10" s="141"/>
      <c r="K10" s="141"/>
      <c r="L10" s="141"/>
      <c r="M10" s="141"/>
      <c r="N10" s="141"/>
      <c r="O10" s="141"/>
      <c r="P10" s="141"/>
      <c r="Q10" s="199"/>
    </row>
    <row r="11" spans="2:17" ht="16.5" x14ac:dyDescent="0.2">
      <c r="B11" s="92">
        <f t="shared" si="0"/>
        <v>5</v>
      </c>
      <c r="C11" s="93" t="s">
        <v>172</v>
      </c>
      <c r="D11" s="92" t="s">
        <v>40</v>
      </c>
      <c r="E11" s="141"/>
      <c r="F11" s="141"/>
      <c r="G11" s="141"/>
      <c r="H11" s="141"/>
      <c r="I11" s="141"/>
      <c r="J11" s="141"/>
      <c r="K11" s="141"/>
      <c r="L11" s="141"/>
      <c r="M11" s="141"/>
      <c r="N11" s="141"/>
      <c r="O11" s="141"/>
      <c r="P11" s="141"/>
      <c r="Q11" s="199"/>
    </row>
    <row r="12" spans="2:17" ht="16.5" x14ac:dyDescent="0.2">
      <c r="B12" s="92">
        <f t="shared" si="0"/>
        <v>6</v>
      </c>
      <c r="C12" s="93" t="s">
        <v>173</v>
      </c>
      <c r="D12" s="92" t="s">
        <v>40</v>
      </c>
      <c r="E12" s="141"/>
      <c r="F12" s="141"/>
      <c r="G12" s="141"/>
      <c r="H12" s="141"/>
      <c r="I12" s="141"/>
      <c r="J12" s="141"/>
      <c r="K12" s="141"/>
      <c r="L12" s="141"/>
      <c r="M12" s="141"/>
      <c r="N12" s="141"/>
      <c r="O12" s="141"/>
      <c r="P12" s="141"/>
      <c r="Q12" s="199"/>
    </row>
    <row r="13" spans="2:17" ht="17.25" x14ac:dyDescent="0.2">
      <c r="B13" s="92">
        <f t="shared" si="0"/>
        <v>7</v>
      </c>
      <c r="C13" s="88" t="s">
        <v>174</v>
      </c>
      <c r="D13" s="96" t="s">
        <v>42</v>
      </c>
      <c r="E13" s="161">
        <v>0</v>
      </c>
      <c r="F13" s="161">
        <v>0</v>
      </c>
      <c r="G13" s="161">
        <v>0.01</v>
      </c>
      <c r="H13" s="161">
        <v>33</v>
      </c>
      <c r="I13" s="161">
        <v>66.7</v>
      </c>
      <c r="J13" s="161">
        <v>89.26</v>
      </c>
      <c r="K13" s="161">
        <v>126.85</v>
      </c>
      <c r="L13" s="161">
        <v>17.190000000000001</v>
      </c>
      <c r="M13" s="161">
        <v>0.22</v>
      </c>
      <c r="N13" s="161">
        <v>0.15</v>
      </c>
      <c r="O13" s="161">
        <v>0</v>
      </c>
      <c r="P13" s="161">
        <v>0</v>
      </c>
      <c r="Q13" s="165">
        <f>SUM(E13:P13)</f>
        <v>333.38000000000005</v>
      </c>
    </row>
    <row r="14" spans="2:17" ht="17.25" x14ac:dyDescent="0.2">
      <c r="B14" s="92">
        <f t="shared" si="0"/>
        <v>8</v>
      </c>
      <c r="C14" s="88" t="s">
        <v>175</v>
      </c>
      <c r="D14" s="96" t="s">
        <v>42</v>
      </c>
      <c r="E14" s="161">
        <v>0.19</v>
      </c>
      <c r="F14" s="161">
        <v>0.22</v>
      </c>
      <c r="G14" s="161">
        <v>0.2</v>
      </c>
      <c r="H14" s="161">
        <v>0.98</v>
      </c>
      <c r="I14" s="161">
        <v>1.8</v>
      </c>
      <c r="J14" s="161">
        <v>2.33</v>
      </c>
      <c r="K14" s="161">
        <v>3.19</v>
      </c>
      <c r="L14" s="161">
        <v>0.56000000000000005</v>
      </c>
      <c r="M14" s="161">
        <v>0.15</v>
      </c>
      <c r="N14" s="161">
        <v>0.14000000000000001</v>
      </c>
      <c r="O14" s="161">
        <v>0.19</v>
      </c>
      <c r="P14" s="161">
        <v>0.22</v>
      </c>
      <c r="Q14" s="165">
        <f>SUM(E14:P14)</f>
        <v>10.170000000000002</v>
      </c>
    </row>
    <row r="15" spans="2:17" ht="17.25" x14ac:dyDescent="0.2">
      <c r="B15" s="92">
        <f t="shared" si="0"/>
        <v>9</v>
      </c>
      <c r="C15" s="88" t="s">
        <v>189</v>
      </c>
      <c r="D15" s="96" t="s">
        <v>42</v>
      </c>
      <c r="E15" s="161">
        <f>E13-E14</f>
        <v>-0.19</v>
      </c>
      <c r="F15" s="161">
        <f t="shared" ref="F15:P15" si="1">F13-F14</f>
        <v>-0.22</v>
      </c>
      <c r="G15" s="161">
        <f t="shared" si="1"/>
        <v>-0.19</v>
      </c>
      <c r="H15" s="161">
        <f t="shared" si="1"/>
        <v>32.020000000000003</v>
      </c>
      <c r="I15" s="161">
        <f t="shared" si="1"/>
        <v>64.900000000000006</v>
      </c>
      <c r="J15" s="161">
        <f t="shared" si="1"/>
        <v>86.93</v>
      </c>
      <c r="K15" s="161">
        <f t="shared" si="1"/>
        <v>123.66</v>
      </c>
      <c r="L15" s="161">
        <f t="shared" si="1"/>
        <v>16.630000000000003</v>
      </c>
      <c r="M15" s="161">
        <f t="shared" si="1"/>
        <v>7.0000000000000007E-2</v>
      </c>
      <c r="N15" s="161">
        <f t="shared" si="1"/>
        <v>9.9999999999999811E-3</v>
      </c>
      <c r="O15" s="161">
        <f t="shared" si="1"/>
        <v>-0.19</v>
      </c>
      <c r="P15" s="161">
        <f t="shared" si="1"/>
        <v>-0.22</v>
      </c>
      <c r="Q15" s="165">
        <f>Q13-Q14</f>
        <v>323.21000000000004</v>
      </c>
    </row>
    <row r="16" spans="2:17" ht="17.25" x14ac:dyDescent="0.2">
      <c r="B16" s="92">
        <f t="shared" si="0"/>
        <v>10</v>
      </c>
      <c r="C16" s="88" t="s">
        <v>190</v>
      </c>
      <c r="D16" s="96" t="s">
        <v>42</v>
      </c>
      <c r="E16" s="162"/>
      <c r="F16" s="162"/>
      <c r="G16" s="162"/>
      <c r="H16" s="162"/>
      <c r="I16" s="162"/>
      <c r="J16" s="162"/>
      <c r="K16" s="162"/>
      <c r="L16" s="162"/>
      <c r="M16" s="162"/>
      <c r="N16" s="162"/>
      <c r="O16" s="162"/>
      <c r="P16" s="162"/>
      <c r="Q16" s="200"/>
    </row>
    <row r="17" spans="2:17" ht="17.25" x14ac:dyDescent="0.2">
      <c r="B17" s="92">
        <f t="shared" si="0"/>
        <v>11</v>
      </c>
      <c r="C17" s="88" t="s">
        <v>176</v>
      </c>
      <c r="D17" s="96" t="s">
        <v>180</v>
      </c>
      <c r="E17" s="163">
        <v>0</v>
      </c>
      <c r="F17" s="163">
        <v>0</v>
      </c>
      <c r="G17" s="163">
        <v>0</v>
      </c>
      <c r="H17" s="163">
        <v>0</v>
      </c>
      <c r="I17" s="163">
        <v>0</v>
      </c>
      <c r="J17" s="163">
        <v>0</v>
      </c>
      <c r="K17" s="163">
        <v>0</v>
      </c>
      <c r="L17" s="163">
        <v>0</v>
      </c>
      <c r="M17" s="163">
        <v>0</v>
      </c>
      <c r="N17" s="163">
        <v>0</v>
      </c>
      <c r="O17" s="163">
        <v>0</v>
      </c>
      <c r="P17" s="163">
        <v>0</v>
      </c>
      <c r="Q17" s="201">
        <v>0</v>
      </c>
    </row>
    <row r="18" spans="2:17" ht="17.25" x14ac:dyDescent="0.2">
      <c r="B18" s="92">
        <f t="shared" si="0"/>
        <v>12</v>
      </c>
      <c r="C18" s="88" t="s">
        <v>191</v>
      </c>
      <c r="D18" s="96" t="s">
        <v>181</v>
      </c>
      <c r="E18" s="164">
        <v>16.5083333</v>
      </c>
      <c r="F18" s="164">
        <v>16.5083333</v>
      </c>
      <c r="G18" s="164">
        <v>16.5083333</v>
      </c>
      <c r="H18" s="164">
        <v>16.5083333</v>
      </c>
      <c r="I18" s="164">
        <v>16.5083333</v>
      </c>
      <c r="J18" s="164">
        <v>16.5083333</v>
      </c>
      <c r="K18" s="164">
        <v>16.5083333</v>
      </c>
      <c r="L18" s="164">
        <v>16.5083333</v>
      </c>
      <c r="M18" s="164">
        <v>16.5083333</v>
      </c>
      <c r="N18" s="164">
        <v>16.5083333</v>
      </c>
      <c r="O18" s="164">
        <v>16.5083333</v>
      </c>
      <c r="P18" s="164">
        <v>16.5083333</v>
      </c>
      <c r="Q18" s="165">
        <f>SUM(E18:P18)</f>
        <v>198.09999960000002</v>
      </c>
    </row>
    <row r="19" spans="2:17" ht="17.25" x14ac:dyDescent="0.2">
      <c r="B19" s="92">
        <f t="shared" si="0"/>
        <v>13</v>
      </c>
      <c r="C19" s="88" t="s">
        <v>274</v>
      </c>
      <c r="D19" s="96" t="s">
        <v>180</v>
      </c>
      <c r="E19" s="163">
        <v>0</v>
      </c>
      <c r="F19" s="163">
        <v>0</v>
      </c>
      <c r="G19" s="163">
        <v>0</v>
      </c>
      <c r="H19" s="163">
        <v>0</v>
      </c>
      <c r="I19" s="163">
        <v>0</v>
      </c>
      <c r="J19" s="163">
        <v>0</v>
      </c>
      <c r="K19" s="163">
        <v>0</v>
      </c>
      <c r="L19" s="163">
        <v>0</v>
      </c>
      <c r="M19" s="163">
        <v>0</v>
      </c>
      <c r="N19" s="163">
        <v>0</v>
      </c>
      <c r="O19" s="163">
        <v>0</v>
      </c>
      <c r="P19" s="163">
        <v>0</v>
      </c>
      <c r="Q19" s="201">
        <v>0</v>
      </c>
    </row>
    <row r="20" spans="2:17" ht="17.25" x14ac:dyDescent="0.2">
      <c r="B20" s="92">
        <f t="shared" si="0"/>
        <v>14</v>
      </c>
      <c r="C20" s="88" t="s">
        <v>177</v>
      </c>
      <c r="D20" s="96" t="s">
        <v>181</v>
      </c>
      <c r="E20" s="164">
        <v>16.5083333</v>
      </c>
      <c r="F20" s="164">
        <v>16.5083333</v>
      </c>
      <c r="G20" s="164">
        <v>16.5083333</v>
      </c>
      <c r="H20" s="164">
        <v>16.5083333</v>
      </c>
      <c r="I20" s="164">
        <v>16.5083333</v>
      </c>
      <c r="J20" s="164">
        <v>16.5083333</v>
      </c>
      <c r="K20" s="164">
        <v>16.5083333</v>
      </c>
      <c r="L20" s="164">
        <v>16.5083333</v>
      </c>
      <c r="M20" s="164">
        <v>16.5083333</v>
      </c>
      <c r="N20" s="164">
        <v>16.5083333</v>
      </c>
      <c r="O20" s="164">
        <v>16.5083333</v>
      </c>
      <c r="P20" s="164">
        <v>16.5083333</v>
      </c>
      <c r="Q20" s="165">
        <f>SUM(E20:P20)</f>
        <v>198.09999960000002</v>
      </c>
    </row>
    <row r="21" spans="2:17" ht="17.25" x14ac:dyDescent="0.2">
      <c r="B21" s="92">
        <f t="shared" si="0"/>
        <v>15</v>
      </c>
      <c r="C21" s="88" t="s">
        <v>275</v>
      </c>
      <c r="D21" s="96" t="s">
        <v>181</v>
      </c>
      <c r="E21" s="163">
        <v>0</v>
      </c>
      <c r="F21" s="163">
        <v>0</v>
      </c>
      <c r="G21" s="163">
        <v>0</v>
      </c>
      <c r="H21" s="163">
        <v>0</v>
      </c>
      <c r="I21" s="163">
        <v>0</v>
      </c>
      <c r="J21" s="163">
        <v>0</v>
      </c>
      <c r="K21" s="163">
        <v>0</v>
      </c>
      <c r="L21" s="163">
        <v>0</v>
      </c>
      <c r="M21" s="163">
        <v>0</v>
      </c>
      <c r="N21" s="163">
        <v>0</v>
      </c>
      <c r="O21" s="163">
        <v>0</v>
      </c>
      <c r="P21" s="163">
        <v>0</v>
      </c>
      <c r="Q21" s="201">
        <v>0</v>
      </c>
    </row>
    <row r="22" spans="2:17" ht="17.25" x14ac:dyDescent="0.2">
      <c r="B22" s="92">
        <f t="shared" si="0"/>
        <v>16</v>
      </c>
      <c r="C22" s="88" t="s">
        <v>192</v>
      </c>
      <c r="D22" s="96" t="s">
        <v>181</v>
      </c>
      <c r="E22" s="163">
        <v>0</v>
      </c>
      <c r="F22" s="163">
        <v>0</v>
      </c>
      <c r="G22" s="163">
        <v>0</v>
      </c>
      <c r="H22" s="163">
        <v>0</v>
      </c>
      <c r="I22" s="163">
        <v>0</v>
      </c>
      <c r="J22" s="163">
        <v>0</v>
      </c>
      <c r="K22" s="163">
        <v>0</v>
      </c>
      <c r="L22" s="163">
        <v>0</v>
      </c>
      <c r="M22" s="163">
        <v>0</v>
      </c>
      <c r="N22" s="163">
        <v>0</v>
      </c>
      <c r="O22" s="163">
        <v>0</v>
      </c>
      <c r="P22" s="163">
        <v>0</v>
      </c>
      <c r="Q22" s="201">
        <v>0</v>
      </c>
    </row>
    <row r="23" spans="2:17" ht="17.25" x14ac:dyDescent="0.2">
      <c r="B23" s="92">
        <f t="shared" si="0"/>
        <v>17</v>
      </c>
      <c r="C23" s="88" t="s">
        <v>178</v>
      </c>
      <c r="D23" s="96" t="s">
        <v>181</v>
      </c>
      <c r="E23" s="163">
        <v>0</v>
      </c>
      <c r="F23" s="163">
        <v>0</v>
      </c>
      <c r="G23" s="163">
        <v>0</v>
      </c>
      <c r="H23" s="163">
        <v>0</v>
      </c>
      <c r="I23" s="163">
        <v>0</v>
      </c>
      <c r="J23" s="163">
        <v>0</v>
      </c>
      <c r="K23" s="163">
        <v>0</v>
      </c>
      <c r="L23" s="163">
        <v>0</v>
      </c>
      <c r="M23" s="163">
        <v>0</v>
      </c>
      <c r="N23" s="163">
        <v>0</v>
      </c>
      <c r="O23" s="163">
        <v>0</v>
      </c>
      <c r="P23" s="163">
        <v>0</v>
      </c>
      <c r="Q23" s="201">
        <v>0</v>
      </c>
    </row>
    <row r="24" spans="2:17" ht="17.25" x14ac:dyDescent="0.2">
      <c r="B24" s="92">
        <f t="shared" si="0"/>
        <v>18</v>
      </c>
      <c r="C24" s="98" t="s">
        <v>143</v>
      </c>
      <c r="D24" s="96" t="s">
        <v>181</v>
      </c>
      <c r="E24" s="165">
        <f>E20+E21+E22+E23</f>
        <v>16.5083333</v>
      </c>
      <c r="F24" s="165">
        <f t="shared" ref="F24:P24" si="2">F20+F21+F22+F23</f>
        <v>16.5083333</v>
      </c>
      <c r="G24" s="165">
        <f t="shared" si="2"/>
        <v>16.5083333</v>
      </c>
      <c r="H24" s="165">
        <f t="shared" si="2"/>
        <v>16.5083333</v>
      </c>
      <c r="I24" s="165">
        <f t="shared" si="2"/>
        <v>16.5083333</v>
      </c>
      <c r="J24" s="165">
        <f t="shared" si="2"/>
        <v>16.5083333</v>
      </c>
      <c r="K24" s="165">
        <f t="shared" si="2"/>
        <v>16.5083333</v>
      </c>
      <c r="L24" s="165">
        <f t="shared" si="2"/>
        <v>16.5083333</v>
      </c>
      <c r="M24" s="165">
        <f t="shared" si="2"/>
        <v>16.5083333</v>
      </c>
      <c r="N24" s="165">
        <f t="shared" si="2"/>
        <v>16.5083333</v>
      </c>
      <c r="O24" s="165">
        <f t="shared" si="2"/>
        <v>16.5083333</v>
      </c>
      <c r="P24" s="165">
        <f t="shared" si="2"/>
        <v>16.5083333</v>
      </c>
      <c r="Q24" s="165">
        <f>SUM(E24:P24)</f>
        <v>198.09999960000002</v>
      </c>
    </row>
    <row r="25" spans="2:17" ht="17.25" x14ac:dyDescent="0.2">
      <c r="B25" s="203">
        <f t="shared" si="0"/>
        <v>19</v>
      </c>
      <c r="C25" s="204" t="s">
        <v>179</v>
      </c>
      <c r="D25" s="96"/>
      <c r="E25" s="166"/>
      <c r="F25" s="161"/>
      <c r="G25" s="161"/>
      <c r="H25" s="161"/>
      <c r="I25" s="161"/>
      <c r="J25" s="161"/>
      <c r="K25" s="161"/>
      <c r="L25" s="161"/>
      <c r="M25" s="164"/>
      <c r="N25" s="164"/>
      <c r="O25" s="164"/>
      <c r="P25" s="164"/>
      <c r="Q25" s="165"/>
    </row>
    <row r="26" spans="2:17" ht="17.25" x14ac:dyDescent="0.2">
      <c r="B26" s="203"/>
      <c r="C26" s="205" t="s">
        <v>350</v>
      </c>
      <c r="D26" s="142" t="s">
        <v>181</v>
      </c>
      <c r="E26" s="166"/>
      <c r="F26" s="161"/>
      <c r="G26" s="161"/>
      <c r="H26" s="161"/>
      <c r="I26" s="161"/>
      <c r="J26" s="161"/>
      <c r="K26" s="161"/>
      <c r="L26" s="161"/>
      <c r="M26" s="164"/>
      <c r="N26" s="164"/>
      <c r="O26" s="164"/>
      <c r="P26" s="164"/>
      <c r="Q26" s="165">
        <v>0.1</v>
      </c>
    </row>
    <row r="27" spans="2:17" ht="17.25" x14ac:dyDescent="0.2">
      <c r="B27" s="203"/>
      <c r="C27" s="205" t="s">
        <v>93</v>
      </c>
      <c r="D27" s="142" t="s">
        <v>181</v>
      </c>
      <c r="E27" s="166"/>
      <c r="F27" s="161"/>
      <c r="G27" s="161"/>
      <c r="H27" s="161"/>
      <c r="I27" s="161"/>
      <c r="J27" s="161"/>
      <c r="K27" s="161"/>
      <c r="L27" s="161"/>
      <c r="M27" s="164"/>
      <c r="N27" s="164"/>
      <c r="O27" s="164"/>
      <c r="P27" s="164"/>
      <c r="Q27" s="165">
        <v>0</v>
      </c>
    </row>
    <row r="28" spans="2:17" ht="17.25" x14ac:dyDescent="0.2">
      <c r="B28" s="206">
        <f>B25+1</f>
        <v>20</v>
      </c>
      <c r="C28" s="207" t="s">
        <v>151</v>
      </c>
      <c r="D28" s="142" t="s">
        <v>181</v>
      </c>
      <c r="E28" s="165">
        <v>16.5083333</v>
      </c>
      <c r="F28" s="165">
        <v>16.5083333</v>
      </c>
      <c r="G28" s="165">
        <v>16.5083333</v>
      </c>
      <c r="H28" s="165">
        <v>16.5083333</v>
      </c>
      <c r="I28" s="165">
        <v>16.5083333</v>
      </c>
      <c r="J28" s="165">
        <v>16.5083333</v>
      </c>
      <c r="K28" s="165">
        <v>16.5083333</v>
      </c>
      <c r="L28" s="165">
        <v>16.5083333</v>
      </c>
      <c r="M28" s="165">
        <v>16.5083333</v>
      </c>
      <c r="N28" s="165">
        <v>16.5083333</v>
      </c>
      <c r="O28" s="165">
        <v>16.5083333</v>
      </c>
      <c r="P28" s="165">
        <v>16.5083333</v>
      </c>
      <c r="Q28" s="165">
        <f>Q24+Q26+Q27</f>
        <v>198.19999960000001</v>
      </c>
    </row>
    <row r="29" spans="2:17" ht="34.5" x14ac:dyDescent="0.2">
      <c r="B29" s="206">
        <f>B28+1</f>
        <v>21</v>
      </c>
      <c r="C29" s="204" t="s">
        <v>182</v>
      </c>
      <c r="D29" s="142" t="s">
        <v>181</v>
      </c>
      <c r="E29" s="97"/>
      <c r="F29" s="94"/>
      <c r="G29" s="94"/>
      <c r="H29" s="94"/>
      <c r="I29" s="94"/>
      <c r="J29" s="94"/>
      <c r="K29" s="94"/>
      <c r="L29" s="94"/>
      <c r="M29" s="95"/>
      <c r="N29" s="95"/>
      <c r="O29" s="95"/>
      <c r="P29" s="95"/>
      <c r="Q29" s="199"/>
    </row>
  </sheetData>
  <pageMargins left="0.2" right="0.2" top="0.25" bottom="0.25" header="0.3" footer="0.3"/>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2"/>
  <sheetViews>
    <sheetView showGridLines="0" topLeftCell="F5" zoomScale="93" zoomScaleNormal="93" zoomScaleSheetLayoutView="91" workbookViewId="0">
      <selection activeCell="F10" sqref="F10:L21"/>
    </sheetView>
  </sheetViews>
  <sheetFormatPr defaultColWidth="9.28515625" defaultRowHeight="14.25" x14ac:dyDescent="0.2"/>
  <cols>
    <col min="1" max="1" width="3" style="13" customWidth="1"/>
    <col min="2" max="2" width="5.7109375" style="13" customWidth="1"/>
    <col min="3" max="3" width="37" style="13" customWidth="1"/>
    <col min="4" max="5" width="11.5703125" style="13" customWidth="1"/>
    <col min="6" max="6" width="12.7109375" style="13" customWidth="1"/>
    <col min="7" max="7" width="11" style="13" customWidth="1"/>
    <col min="8" max="8" width="12.140625" style="13" customWidth="1"/>
    <col min="9" max="9" width="13.42578125" style="13" customWidth="1"/>
    <col min="10" max="10" width="11.140625" style="13" customWidth="1"/>
    <col min="11" max="11" width="12.140625" style="13" customWidth="1"/>
    <col min="12" max="12" width="13.5703125" style="13" customWidth="1"/>
    <col min="13" max="13" width="10.5703125" style="13" customWidth="1"/>
    <col min="14" max="16384" width="9.28515625" style="13"/>
  </cols>
  <sheetData>
    <row r="2" spans="2:13" ht="15" x14ac:dyDescent="0.2">
      <c r="C2" s="5"/>
      <c r="D2" s="5"/>
      <c r="E2" s="5"/>
      <c r="F2" s="32" t="s">
        <v>304</v>
      </c>
      <c r="G2" s="5"/>
      <c r="H2" s="5"/>
      <c r="I2" s="5"/>
      <c r="J2" s="5"/>
      <c r="K2" s="5"/>
      <c r="L2" s="5"/>
      <c r="M2" s="5"/>
    </row>
    <row r="3" spans="2:13" ht="15" x14ac:dyDescent="0.2">
      <c r="C3" s="5"/>
      <c r="D3" s="5"/>
      <c r="E3" s="5"/>
      <c r="F3" s="32" t="s">
        <v>334</v>
      </c>
      <c r="G3" s="5"/>
      <c r="H3" s="5"/>
      <c r="I3" s="5"/>
      <c r="J3" s="5"/>
      <c r="K3" s="5"/>
      <c r="L3" s="5"/>
      <c r="M3" s="5"/>
    </row>
    <row r="4" spans="2:13" s="4" customFormat="1" ht="15.75" x14ac:dyDescent="0.2">
      <c r="C4" s="5"/>
      <c r="D4" s="5"/>
      <c r="F4" s="64" t="s">
        <v>308</v>
      </c>
      <c r="G4" s="5"/>
      <c r="H4" s="5"/>
      <c r="I4" s="5"/>
      <c r="J4" s="5"/>
      <c r="K4" s="5"/>
      <c r="L4" s="5"/>
      <c r="M4" s="5"/>
    </row>
    <row r="6" spans="2:13" ht="12.75" customHeight="1" x14ac:dyDescent="0.2">
      <c r="B6" s="217" t="s">
        <v>169</v>
      </c>
      <c r="C6" s="220" t="s">
        <v>18</v>
      </c>
      <c r="D6" s="214" t="s">
        <v>39</v>
      </c>
      <c r="E6" s="220" t="s">
        <v>1</v>
      </c>
      <c r="F6" s="224" t="s">
        <v>305</v>
      </c>
      <c r="G6" s="225"/>
      <c r="H6" s="226"/>
      <c r="I6" s="224" t="s">
        <v>306</v>
      </c>
      <c r="J6" s="226"/>
      <c r="K6" s="224" t="s">
        <v>332</v>
      </c>
      <c r="L6" s="226"/>
      <c r="M6" s="222" t="s">
        <v>11</v>
      </c>
    </row>
    <row r="7" spans="2:13" ht="60" customHeight="1" x14ac:dyDescent="0.2">
      <c r="B7" s="218"/>
      <c r="C7" s="220"/>
      <c r="D7" s="215"/>
      <c r="E7" s="220"/>
      <c r="F7" s="15" t="s">
        <v>277</v>
      </c>
      <c r="G7" s="15" t="s">
        <v>202</v>
      </c>
      <c r="H7" s="15" t="s">
        <v>331</v>
      </c>
      <c r="I7" s="15" t="s">
        <v>277</v>
      </c>
      <c r="J7" s="15" t="s">
        <v>204</v>
      </c>
      <c r="K7" s="15" t="s">
        <v>277</v>
      </c>
      <c r="L7" s="15" t="s">
        <v>204</v>
      </c>
      <c r="M7" s="222"/>
    </row>
    <row r="8" spans="2:13" ht="30" x14ac:dyDescent="0.2">
      <c r="B8" s="219"/>
      <c r="C8" s="221"/>
      <c r="D8" s="216"/>
      <c r="E8" s="221"/>
      <c r="F8" s="15" t="s">
        <v>10</v>
      </c>
      <c r="G8" s="15" t="s">
        <v>12</v>
      </c>
      <c r="H8" s="15" t="s">
        <v>203</v>
      </c>
      <c r="I8" s="15" t="s">
        <v>10</v>
      </c>
      <c r="J8" s="15" t="s">
        <v>328</v>
      </c>
      <c r="K8" s="15" t="s">
        <v>10</v>
      </c>
      <c r="L8" s="15" t="s">
        <v>328</v>
      </c>
      <c r="M8" s="223"/>
    </row>
    <row r="9" spans="2:13" ht="15" x14ac:dyDescent="0.2">
      <c r="B9" s="22" t="s">
        <v>55</v>
      </c>
      <c r="C9" s="23" t="s">
        <v>207</v>
      </c>
      <c r="D9" s="20"/>
      <c r="E9" s="20"/>
      <c r="F9" s="15"/>
      <c r="G9" s="15"/>
      <c r="H9" s="15"/>
      <c r="I9" s="15"/>
      <c r="J9" s="15"/>
      <c r="K9" s="15"/>
      <c r="L9" s="15"/>
      <c r="M9" s="21"/>
    </row>
    <row r="10" spans="2:13" ht="15" x14ac:dyDescent="0.2">
      <c r="B10" s="2">
        <v>1</v>
      </c>
      <c r="C10" s="3" t="s">
        <v>36</v>
      </c>
      <c r="D10" s="2" t="s">
        <v>181</v>
      </c>
      <c r="E10" s="17" t="s">
        <v>237</v>
      </c>
      <c r="F10" s="149">
        <f>'F2'!E14</f>
        <v>33.68</v>
      </c>
      <c r="G10" s="149">
        <f>'F2'!F14</f>
        <v>54.1</v>
      </c>
      <c r="H10" s="149">
        <f>'F2'!G14</f>
        <v>54.1</v>
      </c>
      <c r="I10" s="149">
        <f>'F2'!H14</f>
        <v>35.61</v>
      </c>
      <c r="J10" s="149">
        <f>'F2'!I14</f>
        <v>63.38</v>
      </c>
      <c r="K10" s="149">
        <f>'F2'!J14</f>
        <v>37.630000000000003</v>
      </c>
      <c r="L10" s="149">
        <f>'F2'!K14</f>
        <v>66.16</v>
      </c>
      <c r="M10" s="116"/>
    </row>
    <row r="11" spans="2:13" ht="15" x14ac:dyDescent="0.2">
      <c r="B11" s="2">
        <f t="shared" ref="B11:B16" si="0">B10+1</f>
        <v>2</v>
      </c>
      <c r="C11" s="18" t="s">
        <v>148</v>
      </c>
      <c r="D11" s="2" t="s">
        <v>181</v>
      </c>
      <c r="E11" s="17" t="s">
        <v>23</v>
      </c>
      <c r="F11" s="150">
        <v>51.31</v>
      </c>
      <c r="G11" s="150">
        <f>H11</f>
        <v>27.02</v>
      </c>
      <c r="H11" s="149">
        <f>'F4'!K21</f>
        <v>27.02</v>
      </c>
      <c r="I11" s="151">
        <v>51.47</v>
      </c>
      <c r="J11" s="149">
        <f>'F4'!K37</f>
        <v>27.14</v>
      </c>
      <c r="K11" s="151">
        <v>51.47</v>
      </c>
      <c r="L11" s="149">
        <f>'F4'!K53</f>
        <v>27.33</v>
      </c>
      <c r="M11" s="116"/>
    </row>
    <row r="12" spans="2:13" ht="15" x14ac:dyDescent="0.2">
      <c r="B12" s="2">
        <f t="shared" si="0"/>
        <v>3</v>
      </c>
      <c r="C12" s="3" t="s">
        <v>205</v>
      </c>
      <c r="D12" s="2" t="s">
        <v>181</v>
      </c>
      <c r="E12" s="16" t="s">
        <v>29</v>
      </c>
      <c r="F12" s="149">
        <f>'F5'!D21</f>
        <v>46.89</v>
      </c>
      <c r="G12" s="149">
        <f>'F5'!E21</f>
        <v>52.07</v>
      </c>
      <c r="H12" s="149">
        <f>'F5'!F21</f>
        <v>52.07</v>
      </c>
      <c r="I12" s="149">
        <f>'F5'!G21</f>
        <v>42.03</v>
      </c>
      <c r="J12" s="149">
        <f>'F5'!H21</f>
        <v>50.93</v>
      </c>
      <c r="K12" s="149">
        <f>'F5'!I21</f>
        <v>36.79</v>
      </c>
      <c r="L12" s="149">
        <f>'F5'!J21</f>
        <v>48.64</v>
      </c>
      <c r="M12" s="116"/>
    </row>
    <row r="13" spans="2:13" ht="15" x14ac:dyDescent="0.2">
      <c r="B13" s="2">
        <f t="shared" si="0"/>
        <v>4</v>
      </c>
      <c r="C13" s="18" t="s">
        <v>37</v>
      </c>
      <c r="D13" s="2" t="s">
        <v>181</v>
      </c>
      <c r="E13" s="16" t="s">
        <v>30</v>
      </c>
      <c r="F13" s="149">
        <f>'F6'!D19</f>
        <v>4.4400000000000004</v>
      </c>
      <c r="G13" s="149">
        <f ca="1">'F6'!E19</f>
        <v>5.25</v>
      </c>
      <c r="H13" s="149">
        <f ca="1">'F6'!F19</f>
        <v>5.25</v>
      </c>
      <c r="I13" s="149">
        <f>'F6'!G19</f>
        <v>4.68</v>
      </c>
      <c r="J13" s="149">
        <f ca="1">'F6'!H19</f>
        <v>5.37</v>
      </c>
      <c r="K13" s="149">
        <f>'F6'!I19</f>
        <v>4.66</v>
      </c>
      <c r="L13" s="149">
        <f ca="1">'F6'!J19</f>
        <v>5.4</v>
      </c>
      <c r="M13" s="116"/>
    </row>
    <row r="14" spans="2:13" ht="15" x14ac:dyDescent="0.2">
      <c r="B14" s="2">
        <f t="shared" si="0"/>
        <v>5</v>
      </c>
      <c r="C14" s="3" t="s">
        <v>206</v>
      </c>
      <c r="D14" s="2" t="s">
        <v>181</v>
      </c>
      <c r="E14" s="16" t="s">
        <v>31</v>
      </c>
      <c r="F14" s="149">
        <f>'F7'!D21</f>
        <v>61.95</v>
      </c>
      <c r="G14" s="149">
        <f>'F7'!E21</f>
        <v>101.87</v>
      </c>
      <c r="H14" s="149">
        <f>'F7'!F21</f>
        <v>101.87</v>
      </c>
      <c r="I14" s="149">
        <f>'F7'!G21</f>
        <v>81.97</v>
      </c>
      <c r="J14" s="149">
        <f>'F7'!H21</f>
        <v>102.08</v>
      </c>
      <c r="K14" s="149">
        <f>'F7'!I21</f>
        <v>81.97</v>
      </c>
      <c r="L14" s="149">
        <f>'F7'!J21</f>
        <v>102.41</v>
      </c>
      <c r="M14" s="116"/>
    </row>
    <row r="15" spans="2:13" ht="15" x14ac:dyDescent="0.2">
      <c r="B15" s="2">
        <f t="shared" si="0"/>
        <v>6</v>
      </c>
      <c r="C15" s="3" t="s">
        <v>38</v>
      </c>
      <c r="D15" s="2" t="s">
        <v>181</v>
      </c>
      <c r="E15" s="16" t="s">
        <v>32</v>
      </c>
      <c r="F15" s="149">
        <f>'F8'!D29</f>
        <v>0.17</v>
      </c>
      <c r="G15" s="149">
        <f>'F8'!E29</f>
        <v>0.31</v>
      </c>
      <c r="H15" s="149">
        <f>G15</f>
        <v>0.31</v>
      </c>
      <c r="I15" s="149">
        <f>'F8'!G29</f>
        <v>0.18</v>
      </c>
      <c r="J15" s="149">
        <f>'F8'!H29</f>
        <v>0.33</v>
      </c>
      <c r="K15" s="149">
        <f>'F8'!I29</f>
        <v>0.19</v>
      </c>
      <c r="L15" s="149">
        <f>'F8'!J29</f>
        <v>0.35</v>
      </c>
      <c r="M15" s="116"/>
    </row>
    <row r="16" spans="2:13" ht="15" x14ac:dyDescent="0.2">
      <c r="B16" s="14">
        <f t="shared" si="0"/>
        <v>7</v>
      </c>
      <c r="C16" s="19" t="s">
        <v>207</v>
      </c>
      <c r="D16" s="14" t="s">
        <v>181</v>
      </c>
      <c r="E16" s="16"/>
      <c r="F16" s="149">
        <f>SUM(F10:F14)-F15</f>
        <v>198.1</v>
      </c>
      <c r="G16" s="149">
        <f ca="1">SUM(G10:G14)-G15</f>
        <v>240</v>
      </c>
      <c r="H16" s="149">
        <f t="shared" ref="H16:J16" ca="1" si="1">SUM(H10:H14)-H15</f>
        <v>240</v>
      </c>
      <c r="I16" s="149">
        <f t="shared" si="1"/>
        <v>215.58</v>
      </c>
      <c r="J16" s="149">
        <f t="shared" ca="1" si="1"/>
        <v>248.57000000000002</v>
      </c>
      <c r="K16" s="149">
        <f>SUM(K10:K14)-K15</f>
        <v>212.32999999999998</v>
      </c>
      <c r="L16" s="149">
        <f t="shared" ref="L16" ca="1" si="2">SUM(L10:L14)-L15</f>
        <v>249.59</v>
      </c>
      <c r="M16" s="116"/>
    </row>
    <row r="17" spans="2:13" ht="15" x14ac:dyDescent="0.2">
      <c r="B17" s="14" t="s">
        <v>59</v>
      </c>
      <c r="C17" s="14" t="s">
        <v>208</v>
      </c>
      <c r="D17" s="16"/>
      <c r="E17" s="16"/>
      <c r="F17" s="117"/>
      <c r="G17" s="117"/>
      <c r="H17" s="117"/>
      <c r="I17" s="117"/>
      <c r="J17" s="117"/>
      <c r="K17" s="117"/>
      <c r="L17" s="117"/>
      <c r="M17" s="3"/>
    </row>
    <row r="18" spans="2:13" ht="15" x14ac:dyDescent="0.2">
      <c r="B18" s="2">
        <v>1</v>
      </c>
      <c r="C18" s="16" t="s">
        <v>209</v>
      </c>
      <c r="D18" s="2" t="s">
        <v>180</v>
      </c>
      <c r="E18" s="16" t="s">
        <v>145</v>
      </c>
      <c r="F18" s="152"/>
      <c r="G18" s="152"/>
      <c r="H18" s="152"/>
      <c r="I18" s="152"/>
      <c r="J18" s="152"/>
      <c r="K18" s="152"/>
      <c r="L18" s="152"/>
      <c r="M18" s="3"/>
    </row>
    <row r="19" spans="2:13" ht="15" x14ac:dyDescent="0.2">
      <c r="B19" s="2">
        <f>B18+1</f>
        <v>2</v>
      </c>
      <c r="C19" s="16" t="s">
        <v>210</v>
      </c>
      <c r="D19" s="2" t="s">
        <v>42</v>
      </c>
      <c r="E19" s="16" t="s">
        <v>34</v>
      </c>
      <c r="F19" s="149"/>
      <c r="G19" s="149"/>
      <c r="H19" s="149"/>
      <c r="I19" s="149"/>
      <c r="J19" s="149"/>
      <c r="K19" s="149"/>
      <c r="L19" s="149"/>
      <c r="M19" s="3"/>
    </row>
    <row r="20" spans="2:13" ht="15" x14ac:dyDescent="0.2">
      <c r="B20" s="2">
        <f>B19+1</f>
        <v>3</v>
      </c>
      <c r="C20" s="16" t="s">
        <v>208</v>
      </c>
      <c r="D20" s="2" t="s">
        <v>181</v>
      </c>
      <c r="E20" s="16"/>
      <c r="F20" s="149"/>
      <c r="G20" s="149"/>
      <c r="H20" s="149"/>
      <c r="I20" s="149"/>
      <c r="J20" s="149"/>
      <c r="K20" s="149"/>
      <c r="L20" s="149"/>
      <c r="M20" s="3"/>
    </row>
    <row r="21" spans="2:13" ht="15" x14ac:dyDescent="0.2">
      <c r="B21" s="14" t="s">
        <v>60</v>
      </c>
      <c r="C21" s="14" t="s">
        <v>297</v>
      </c>
      <c r="D21" s="2" t="s">
        <v>181</v>
      </c>
      <c r="E21" s="3"/>
      <c r="F21" s="153">
        <f>F16+F20</f>
        <v>198.1</v>
      </c>
      <c r="G21" s="149">
        <f t="shared" ref="G21:L21" ca="1" si="3">G16+G20</f>
        <v>240</v>
      </c>
      <c r="H21" s="149">
        <f t="shared" ca="1" si="3"/>
        <v>240</v>
      </c>
      <c r="I21" s="149">
        <f t="shared" si="3"/>
        <v>215.58</v>
      </c>
      <c r="J21" s="149">
        <f t="shared" ca="1" si="3"/>
        <v>248.57000000000002</v>
      </c>
      <c r="K21" s="149">
        <f t="shared" si="3"/>
        <v>212.32999999999998</v>
      </c>
      <c r="L21" s="149">
        <f t="shared" ca="1" si="3"/>
        <v>249.59</v>
      </c>
      <c r="M21" s="3"/>
    </row>
    <row r="22" spans="2:13" x14ac:dyDescent="0.2">
      <c r="F22" s="128"/>
    </row>
  </sheetData>
  <mergeCells count="8">
    <mergeCell ref="D6:D8"/>
    <mergeCell ref="B6:B8"/>
    <mergeCell ref="C6:C8"/>
    <mergeCell ref="E6:E8"/>
    <mergeCell ref="M6:M8"/>
    <mergeCell ref="F6:H6"/>
    <mergeCell ref="I6:J6"/>
    <mergeCell ref="K6:L6"/>
  </mergeCells>
  <pageMargins left="0.23" right="0.23" top="0.92" bottom="1" header="0.5" footer="0.5"/>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view="pageBreakPreview" zoomScale="95" zoomScaleNormal="95" zoomScaleSheetLayoutView="95" workbookViewId="0">
      <selection activeCell="O9" sqref="O9"/>
    </sheetView>
  </sheetViews>
  <sheetFormatPr defaultColWidth="9.28515625" defaultRowHeight="14.25" x14ac:dyDescent="0.2"/>
  <cols>
    <col min="1" max="1" width="3.28515625" style="5" customWidth="1"/>
    <col min="2" max="2" width="5.7109375" style="5" customWidth="1"/>
    <col min="3" max="3" width="20.7109375" style="5" customWidth="1"/>
    <col min="4" max="4" width="11.85546875" style="5" customWidth="1"/>
    <col min="5" max="5" width="11.5703125" style="5" customWidth="1"/>
    <col min="6" max="6" width="11.7109375" style="5" customWidth="1"/>
    <col min="7" max="7" width="14.85546875" style="5" customWidth="1"/>
    <col min="8" max="8" width="9.5703125" style="5" customWidth="1"/>
    <col min="9" max="9" width="10.28515625" style="5" customWidth="1"/>
    <col min="10" max="10" width="12.140625" style="5" customWidth="1"/>
    <col min="11" max="11" width="10" style="5" customWidth="1"/>
    <col min="12" max="16384" width="9.28515625" style="5"/>
  </cols>
  <sheetData>
    <row r="1" spans="2:11" ht="15" x14ac:dyDescent="0.2">
      <c r="C1" s="36"/>
      <c r="D1" s="36"/>
      <c r="E1" s="36"/>
      <c r="F1" s="36"/>
      <c r="G1" s="36"/>
      <c r="I1" s="33"/>
      <c r="J1" s="33"/>
      <c r="K1" s="36"/>
    </row>
    <row r="2" spans="2:11" ht="15" x14ac:dyDescent="0.2">
      <c r="B2" s="227" t="s">
        <v>304</v>
      </c>
      <c r="C2" s="227"/>
      <c r="D2" s="227"/>
      <c r="E2" s="227"/>
      <c r="F2" s="227"/>
      <c r="G2" s="227"/>
      <c r="H2" s="227"/>
      <c r="I2" s="227"/>
      <c r="J2" s="227"/>
      <c r="K2" s="227"/>
    </row>
    <row r="3" spans="2:11" ht="15" x14ac:dyDescent="0.2">
      <c r="B3" s="35"/>
      <c r="C3" s="35"/>
      <c r="D3" s="35"/>
      <c r="E3" s="35"/>
      <c r="F3" s="35" t="str">
        <f>'F1'!$F$3</f>
        <v>Lower Jurala HES</v>
      </c>
      <c r="G3" s="35"/>
      <c r="H3" s="35"/>
      <c r="I3" s="35"/>
      <c r="J3" s="35"/>
      <c r="K3" s="35"/>
    </row>
    <row r="4" spans="2:11" ht="15" x14ac:dyDescent="0.2">
      <c r="B4" s="227" t="s">
        <v>284</v>
      </c>
      <c r="C4" s="227"/>
      <c r="D4" s="227"/>
      <c r="E4" s="227"/>
      <c r="F4" s="227"/>
      <c r="G4" s="227"/>
      <c r="H4" s="227"/>
      <c r="I4" s="227"/>
      <c r="J4" s="227"/>
      <c r="K4" s="227"/>
    </row>
    <row r="5" spans="2:11" ht="15" x14ac:dyDescent="0.2">
      <c r="B5" s="35"/>
      <c r="C5" s="35"/>
      <c r="D5" s="35"/>
      <c r="E5" s="35"/>
      <c r="F5" s="35"/>
      <c r="G5" s="35"/>
      <c r="H5" s="35"/>
      <c r="I5" s="35"/>
      <c r="J5" s="35"/>
      <c r="K5" s="35"/>
    </row>
    <row r="6" spans="2:11" ht="15" x14ac:dyDescent="0.2">
      <c r="B6" s="228" t="s">
        <v>56</v>
      </c>
      <c r="C6" s="228"/>
      <c r="D6" s="228"/>
      <c r="E6" s="228"/>
      <c r="F6" s="228"/>
      <c r="G6" s="228"/>
      <c r="H6" s="228"/>
      <c r="I6" s="228"/>
      <c r="J6" s="228"/>
      <c r="K6" s="228"/>
    </row>
    <row r="7" spans="2:11" ht="15" x14ac:dyDescent="0.2">
      <c r="K7" s="26" t="s">
        <v>4</v>
      </c>
    </row>
    <row r="8" spans="2:11" ht="15" customHeight="1" x14ac:dyDescent="0.2">
      <c r="B8" s="229" t="s">
        <v>169</v>
      </c>
      <c r="C8" s="229" t="s">
        <v>18</v>
      </c>
      <c r="D8" s="230" t="s">
        <v>1</v>
      </c>
      <c r="E8" s="224" t="s">
        <v>305</v>
      </c>
      <c r="F8" s="225"/>
      <c r="G8" s="226"/>
      <c r="H8" s="224" t="s">
        <v>306</v>
      </c>
      <c r="I8" s="226"/>
      <c r="J8" s="224" t="s">
        <v>332</v>
      </c>
      <c r="K8" s="226"/>
    </row>
    <row r="9" spans="2:11" ht="45" x14ac:dyDescent="0.2">
      <c r="B9" s="229"/>
      <c r="C9" s="229"/>
      <c r="D9" s="231"/>
      <c r="E9" s="15" t="s">
        <v>277</v>
      </c>
      <c r="F9" s="15" t="s">
        <v>212</v>
      </c>
      <c r="G9" s="15" t="s">
        <v>330</v>
      </c>
      <c r="H9" s="15" t="s">
        <v>277</v>
      </c>
      <c r="I9" s="15" t="s">
        <v>211</v>
      </c>
      <c r="J9" s="15" t="s">
        <v>277</v>
      </c>
      <c r="K9" s="15" t="s">
        <v>211</v>
      </c>
    </row>
    <row r="10" spans="2:11" ht="45" x14ac:dyDescent="0.2">
      <c r="B10" s="229"/>
      <c r="C10" s="229"/>
      <c r="D10" s="232"/>
      <c r="E10" s="15" t="s">
        <v>10</v>
      </c>
      <c r="F10" s="15" t="s">
        <v>12</v>
      </c>
      <c r="G10" s="15" t="s">
        <v>203</v>
      </c>
      <c r="H10" s="15" t="s">
        <v>10</v>
      </c>
      <c r="I10" s="15" t="s">
        <v>328</v>
      </c>
      <c r="J10" s="15" t="s">
        <v>10</v>
      </c>
      <c r="K10" s="15" t="s">
        <v>328</v>
      </c>
    </row>
    <row r="11" spans="2:11" x14ac:dyDescent="0.2">
      <c r="B11" s="20">
        <v>1</v>
      </c>
      <c r="C11" s="29" t="s">
        <v>57</v>
      </c>
      <c r="D11" s="29" t="s">
        <v>24</v>
      </c>
      <c r="E11" s="115"/>
      <c r="F11" s="130">
        <f>F2.1!D35</f>
        <v>47.82</v>
      </c>
      <c r="G11" s="130">
        <f>F11</f>
        <v>47.82</v>
      </c>
      <c r="H11" s="115"/>
      <c r="I11" s="130">
        <f>F2.1!E35</f>
        <v>50.61</v>
      </c>
      <c r="J11" s="115"/>
      <c r="K11" s="130">
        <f>F2.1!F35</f>
        <v>52.63</v>
      </c>
    </row>
    <row r="12" spans="2:11" x14ac:dyDescent="0.2">
      <c r="B12" s="20">
        <f>B11+1</f>
        <v>2</v>
      </c>
      <c r="C12" s="37" t="s">
        <v>213</v>
      </c>
      <c r="D12" s="37" t="s">
        <v>25</v>
      </c>
      <c r="E12" s="120"/>
      <c r="F12" s="131">
        <f>F2.2!D38</f>
        <v>1.99</v>
      </c>
      <c r="G12" s="130">
        <f t="shared" ref="G12:G13" si="0">F12</f>
        <v>1.99</v>
      </c>
      <c r="H12" s="115"/>
      <c r="I12" s="130">
        <f>F2.2!E38</f>
        <v>2.16</v>
      </c>
      <c r="J12" s="115"/>
      <c r="K12" s="130">
        <f>F2.2!F38</f>
        <v>2.29</v>
      </c>
    </row>
    <row r="13" spans="2:11" x14ac:dyDescent="0.2">
      <c r="B13" s="20">
        <f>B12+1</f>
        <v>3</v>
      </c>
      <c r="C13" s="29" t="s">
        <v>185</v>
      </c>
      <c r="D13" s="29" t="s">
        <v>238</v>
      </c>
      <c r="E13" s="115"/>
      <c r="F13" s="130">
        <f>F2.3!D18</f>
        <v>4.29</v>
      </c>
      <c r="G13" s="130">
        <f t="shared" si="0"/>
        <v>4.29</v>
      </c>
      <c r="H13" s="115"/>
      <c r="I13" s="130">
        <f>F2.3!E18</f>
        <v>10.61</v>
      </c>
      <c r="J13" s="115"/>
      <c r="K13" s="130">
        <f>F2.3!F18</f>
        <v>11.24</v>
      </c>
    </row>
    <row r="14" spans="2:11" ht="15" x14ac:dyDescent="0.2">
      <c r="B14" s="20">
        <f>B13+1</f>
        <v>4</v>
      </c>
      <c r="C14" s="29" t="s">
        <v>58</v>
      </c>
      <c r="D14" s="29"/>
      <c r="E14" s="132">
        <v>33.68</v>
      </c>
      <c r="F14" s="132">
        <f t="shared" ref="F14:K14" si="1">ROUND(SUM(F11:F13),2)</f>
        <v>54.1</v>
      </c>
      <c r="G14" s="132">
        <f t="shared" si="1"/>
        <v>54.1</v>
      </c>
      <c r="H14" s="132">
        <v>35.61</v>
      </c>
      <c r="I14" s="132">
        <f t="shared" si="1"/>
        <v>63.38</v>
      </c>
      <c r="J14" s="132">
        <v>37.630000000000003</v>
      </c>
      <c r="K14" s="132">
        <f t="shared" si="1"/>
        <v>66.16</v>
      </c>
    </row>
    <row r="15" spans="2:11" x14ac:dyDescent="0.2">
      <c r="B15" s="49" t="s">
        <v>214</v>
      </c>
      <c r="C15" s="50"/>
      <c r="D15" s="47"/>
      <c r="E15" s="145"/>
      <c r="F15" s="47"/>
      <c r="G15" s="48"/>
      <c r="H15" s="48"/>
      <c r="I15" s="48"/>
      <c r="J15" s="48"/>
      <c r="K15" s="48"/>
    </row>
    <row r="16" spans="2:11" x14ac:dyDescent="0.2">
      <c r="B16" s="51">
        <v>1</v>
      </c>
      <c r="C16" s="50" t="s">
        <v>215</v>
      </c>
    </row>
  </sheetData>
  <mergeCells count="9">
    <mergeCell ref="B4:K4"/>
    <mergeCell ref="B2:K2"/>
    <mergeCell ref="B6:K6"/>
    <mergeCell ref="B8:B10"/>
    <mergeCell ref="C8:C10"/>
    <mergeCell ref="H8:I8"/>
    <mergeCell ref="E8:G8"/>
    <mergeCell ref="D8:D10"/>
    <mergeCell ref="J8:K8"/>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view="pageBreakPreview" topLeftCell="A21" zoomScale="98" zoomScaleNormal="95" zoomScaleSheetLayoutView="98" workbookViewId="0">
      <selection activeCell="F35" sqref="F35"/>
    </sheetView>
  </sheetViews>
  <sheetFormatPr defaultColWidth="9.28515625" defaultRowHeight="14.25" x14ac:dyDescent="0.2"/>
  <cols>
    <col min="1" max="1" width="4.140625" style="13" customWidth="1"/>
    <col min="2" max="2" width="7" style="13" customWidth="1"/>
    <col min="3" max="3" width="40.7109375" style="13" customWidth="1"/>
    <col min="4" max="4" width="12.7109375" style="13" customWidth="1"/>
    <col min="5" max="5" width="13.28515625" style="13" customWidth="1"/>
    <col min="6" max="6" width="11.85546875" style="13" customWidth="1"/>
    <col min="7" max="7" width="9.28515625" style="13"/>
    <col min="8" max="8" width="16.28515625" style="13" bestFit="1" customWidth="1"/>
    <col min="9" max="16384" width="9.28515625" style="13"/>
  </cols>
  <sheetData>
    <row r="1" spans="1:8" ht="14.25" customHeight="1" x14ac:dyDescent="0.2">
      <c r="B1" s="227" t="s">
        <v>304</v>
      </c>
      <c r="C1" s="227"/>
      <c r="D1" s="227"/>
      <c r="E1" s="227"/>
      <c r="F1" s="227"/>
    </row>
    <row r="2" spans="1:8" ht="14.25" customHeight="1" x14ac:dyDescent="0.2">
      <c r="A2" s="227" t="str">
        <f>'F1'!$F$3</f>
        <v>Lower Jurala HES</v>
      </c>
      <c r="B2" s="227"/>
      <c r="C2" s="227"/>
      <c r="D2" s="227"/>
      <c r="E2" s="227"/>
      <c r="F2" s="227"/>
    </row>
    <row r="3" spans="1:8" s="4" customFormat="1" ht="14.25" customHeight="1" x14ac:dyDescent="0.2">
      <c r="B3" s="227" t="s">
        <v>239</v>
      </c>
      <c r="C3" s="227"/>
      <c r="D3" s="227"/>
      <c r="E3" s="227"/>
      <c r="F3" s="227"/>
    </row>
    <row r="4" spans="1:8" s="4" customFormat="1" ht="3" customHeight="1" x14ac:dyDescent="0.25">
      <c r="C4" s="40"/>
      <c r="D4" s="41"/>
      <c r="E4" s="41"/>
    </row>
    <row r="5" spans="1:8" ht="15" x14ac:dyDescent="0.2">
      <c r="F5" s="26" t="s">
        <v>4</v>
      </c>
    </row>
    <row r="6" spans="1:8" ht="12.75" customHeight="1" x14ac:dyDescent="0.2">
      <c r="B6" s="220" t="s">
        <v>2</v>
      </c>
      <c r="C6" s="220" t="s">
        <v>18</v>
      </c>
      <c r="D6" s="15" t="s">
        <v>305</v>
      </c>
      <c r="E6" s="15" t="s">
        <v>306</v>
      </c>
      <c r="F6" s="23" t="s">
        <v>332</v>
      </c>
    </row>
    <row r="7" spans="1:8" ht="15" x14ac:dyDescent="0.2">
      <c r="B7" s="220"/>
      <c r="C7" s="220"/>
      <c r="D7" s="15" t="s">
        <v>212</v>
      </c>
      <c r="E7" s="15" t="s">
        <v>211</v>
      </c>
      <c r="F7" s="15" t="s">
        <v>211</v>
      </c>
    </row>
    <row r="8" spans="1:8" ht="15" x14ac:dyDescent="0.2">
      <c r="B8" s="233"/>
      <c r="C8" s="220"/>
      <c r="D8" s="15" t="s">
        <v>12</v>
      </c>
      <c r="E8" s="15" t="s">
        <v>5</v>
      </c>
      <c r="F8" s="15" t="s">
        <v>8</v>
      </c>
    </row>
    <row r="9" spans="1:8" ht="18" customHeight="1" x14ac:dyDescent="0.2">
      <c r="B9" s="2">
        <v>1</v>
      </c>
      <c r="C9" s="42" t="s">
        <v>61</v>
      </c>
      <c r="D9" s="194">
        <v>23.500013901203495</v>
      </c>
      <c r="E9" s="194">
        <v>24.762366131782063</v>
      </c>
      <c r="F9" s="194">
        <v>25.752860777053346</v>
      </c>
      <c r="H9" s="133"/>
    </row>
    <row r="10" spans="1:8" ht="18" customHeight="1" x14ac:dyDescent="0.2">
      <c r="B10" s="2">
        <v>2</v>
      </c>
      <c r="C10" s="42" t="s">
        <v>62</v>
      </c>
      <c r="D10" s="194">
        <v>2.9970857838851734</v>
      </c>
      <c r="E10" s="194">
        <v>3.1526066608193584</v>
      </c>
      <c r="F10" s="194">
        <v>3.2787109272521326</v>
      </c>
      <c r="H10" s="133"/>
    </row>
    <row r="11" spans="1:8" ht="18" customHeight="1" x14ac:dyDescent="0.2">
      <c r="B11" s="2">
        <v>3</v>
      </c>
      <c r="C11" s="3" t="s">
        <v>63</v>
      </c>
      <c r="D11" s="194">
        <v>1.1646373791808324</v>
      </c>
      <c r="E11" s="194">
        <v>1.2839119455016856</v>
      </c>
      <c r="F11" s="194">
        <v>1.3352684233217531</v>
      </c>
      <c r="H11" s="133"/>
    </row>
    <row r="12" spans="1:8" ht="18" customHeight="1" x14ac:dyDescent="0.2">
      <c r="B12" s="2">
        <v>4</v>
      </c>
      <c r="C12" s="42" t="s">
        <v>64</v>
      </c>
      <c r="D12" s="194">
        <v>0.14817148666837046</v>
      </c>
      <c r="E12" s="194">
        <v>0.1543306023435467</v>
      </c>
      <c r="F12" s="194">
        <v>0.16050382643728858</v>
      </c>
      <c r="H12" s="133"/>
    </row>
    <row r="13" spans="1:8" ht="18" customHeight="1" x14ac:dyDescent="0.2">
      <c r="B13" s="2">
        <v>5</v>
      </c>
      <c r="C13" s="42" t="s">
        <v>65</v>
      </c>
      <c r="D13" s="194">
        <v>0</v>
      </c>
      <c r="E13" s="194">
        <v>0</v>
      </c>
      <c r="F13" s="194">
        <v>0</v>
      </c>
      <c r="H13" s="133"/>
    </row>
    <row r="14" spans="1:8" ht="18" customHeight="1" x14ac:dyDescent="0.2">
      <c r="B14" s="2">
        <v>6</v>
      </c>
      <c r="C14" s="3" t="s">
        <v>66</v>
      </c>
      <c r="D14" s="194">
        <v>0.61177492505998654</v>
      </c>
      <c r="E14" s="194">
        <v>0.40790469115821026</v>
      </c>
      <c r="F14" s="194">
        <v>0.42422087880453868</v>
      </c>
      <c r="H14" s="133"/>
    </row>
    <row r="15" spans="1:8" ht="18" customHeight="1" x14ac:dyDescent="0.2">
      <c r="B15" s="2">
        <v>7</v>
      </c>
      <c r="C15" s="42" t="s">
        <v>67</v>
      </c>
      <c r="D15" s="194">
        <v>3.6331576569208015</v>
      </c>
      <c r="E15" s="194">
        <v>3.8013702368283595</v>
      </c>
      <c r="F15" s="194">
        <v>3.9534250463014939</v>
      </c>
      <c r="H15" s="133"/>
    </row>
    <row r="16" spans="1:8" ht="18" customHeight="1" x14ac:dyDescent="0.2">
      <c r="B16" s="2">
        <v>8</v>
      </c>
      <c r="C16" s="42" t="s">
        <v>68</v>
      </c>
      <c r="D16" s="194">
        <v>0.77670149950561385</v>
      </c>
      <c r="E16" s="194">
        <v>0.82320232687032768</v>
      </c>
      <c r="F16" s="194">
        <v>0.85613041994514083</v>
      </c>
      <c r="H16" s="133"/>
    </row>
    <row r="17" spans="2:8" ht="18" customHeight="1" x14ac:dyDescent="0.2">
      <c r="B17" s="2">
        <v>9</v>
      </c>
      <c r="C17" s="42" t="s">
        <v>69</v>
      </c>
      <c r="D17" s="194">
        <v>0</v>
      </c>
      <c r="E17" s="194">
        <v>0</v>
      </c>
      <c r="F17" s="194">
        <v>0</v>
      </c>
      <c r="H17" s="133"/>
    </row>
    <row r="18" spans="2:8" ht="18" customHeight="1" x14ac:dyDescent="0.2">
      <c r="B18" s="2">
        <v>10</v>
      </c>
      <c r="C18" s="42" t="s">
        <v>70</v>
      </c>
      <c r="D18" s="194">
        <v>0</v>
      </c>
      <c r="E18" s="194">
        <v>0</v>
      </c>
      <c r="F18" s="194">
        <v>0</v>
      </c>
      <c r="H18" s="133"/>
    </row>
    <row r="19" spans="2:8" ht="18" customHeight="1" x14ac:dyDescent="0.2">
      <c r="B19" s="2">
        <v>11</v>
      </c>
      <c r="C19" s="42" t="s">
        <v>71</v>
      </c>
      <c r="D19" s="194">
        <v>8.7221436988297576E-4</v>
      </c>
      <c r="E19" s="194">
        <v>9.678611991342309E-4</v>
      </c>
      <c r="F19" s="194">
        <v>1.0065756470996003E-3</v>
      </c>
      <c r="H19" s="133"/>
    </row>
    <row r="20" spans="2:8" ht="18" customHeight="1" x14ac:dyDescent="0.2">
      <c r="B20" s="2">
        <v>12</v>
      </c>
      <c r="C20" s="42" t="s">
        <v>72</v>
      </c>
      <c r="D20" s="194">
        <v>0.4033714653916724</v>
      </c>
      <c r="E20" s="194">
        <v>0.42644428983152466</v>
      </c>
      <c r="F20" s="194">
        <v>0.44350206142478565</v>
      </c>
      <c r="H20" s="133"/>
    </row>
    <row r="21" spans="2:8" ht="18" customHeight="1" x14ac:dyDescent="0.2">
      <c r="B21" s="2">
        <v>13</v>
      </c>
      <c r="C21" s="42" t="s">
        <v>73</v>
      </c>
      <c r="D21" s="194">
        <v>0</v>
      </c>
      <c r="E21" s="194">
        <v>0</v>
      </c>
      <c r="F21" s="194">
        <v>0</v>
      </c>
      <c r="H21" s="133"/>
    </row>
    <row r="22" spans="2:8" ht="18" customHeight="1" x14ac:dyDescent="0.2">
      <c r="B22" s="2">
        <v>14</v>
      </c>
      <c r="C22" s="42" t="s">
        <v>74</v>
      </c>
      <c r="D22" s="194">
        <v>0</v>
      </c>
      <c r="E22" s="194">
        <v>0</v>
      </c>
      <c r="F22" s="194">
        <v>0</v>
      </c>
      <c r="H22" s="133"/>
    </row>
    <row r="23" spans="2:8" ht="18" customHeight="1" x14ac:dyDescent="0.2">
      <c r="B23" s="2">
        <v>15</v>
      </c>
      <c r="C23" s="42" t="s">
        <v>75</v>
      </c>
      <c r="D23" s="194">
        <v>0</v>
      </c>
      <c r="E23" s="194">
        <v>0</v>
      </c>
      <c r="F23" s="194">
        <v>0</v>
      </c>
      <c r="H23" s="133"/>
    </row>
    <row r="24" spans="2:8" ht="18" customHeight="1" x14ac:dyDescent="0.2">
      <c r="B24" s="2">
        <v>16</v>
      </c>
      <c r="C24" s="42" t="s">
        <v>76</v>
      </c>
      <c r="D24" s="194">
        <v>0</v>
      </c>
      <c r="E24" s="194">
        <v>0</v>
      </c>
      <c r="F24" s="194">
        <v>0</v>
      </c>
      <c r="H24" s="133"/>
    </row>
    <row r="25" spans="2:8" ht="18" customHeight="1" x14ac:dyDescent="0.2">
      <c r="B25" s="2">
        <v>17</v>
      </c>
      <c r="C25" s="42" t="s">
        <v>77</v>
      </c>
      <c r="D25" s="126">
        <f>SUM(D9:D24)</f>
        <v>33.23578631218583</v>
      </c>
      <c r="E25" s="127">
        <f>SUM(E9:E24)</f>
        <v>34.813104746334211</v>
      </c>
      <c r="F25" s="127">
        <f>SUM(F9:F24)</f>
        <v>36.20562893618758</v>
      </c>
      <c r="H25" s="134"/>
    </row>
    <row r="26" spans="2:8" ht="18" customHeight="1" x14ac:dyDescent="0.2">
      <c r="B26" s="2">
        <v>18</v>
      </c>
      <c r="C26" s="42" t="s">
        <v>78</v>
      </c>
      <c r="D26" s="194">
        <v>0</v>
      </c>
      <c r="E26" s="194">
        <v>0</v>
      </c>
      <c r="F26" s="194">
        <v>0</v>
      </c>
    </row>
    <row r="27" spans="2:8" ht="18" customHeight="1" x14ac:dyDescent="0.2">
      <c r="B27" s="2">
        <f>+B26+0.1</f>
        <v>18.100000000000001</v>
      </c>
      <c r="C27" s="42" t="s">
        <v>79</v>
      </c>
      <c r="D27" s="194">
        <v>0</v>
      </c>
      <c r="E27" s="194">
        <v>0</v>
      </c>
      <c r="F27" s="194">
        <v>0</v>
      </c>
    </row>
    <row r="28" spans="2:8" ht="18" customHeight="1" x14ac:dyDescent="0.2">
      <c r="B28" s="2">
        <f>+B27+0.1</f>
        <v>18.200000000000003</v>
      </c>
      <c r="C28" s="42" t="s">
        <v>80</v>
      </c>
      <c r="D28" s="194">
        <v>2.328580790920709</v>
      </c>
      <c r="E28" s="194">
        <v>2.4798134268613294</v>
      </c>
      <c r="F28" s="194">
        <v>2.5790059639357827</v>
      </c>
    </row>
    <row r="29" spans="2:8" ht="18" customHeight="1" x14ac:dyDescent="0.2">
      <c r="B29" s="2">
        <f>+B28+0.1</f>
        <v>18.300000000000004</v>
      </c>
      <c r="C29" s="42" t="s">
        <v>81</v>
      </c>
      <c r="D29" s="194">
        <v>0</v>
      </c>
      <c r="E29" s="194">
        <v>0</v>
      </c>
      <c r="F29" s="194">
        <v>0</v>
      </c>
    </row>
    <row r="30" spans="2:8" ht="16.5" customHeight="1" x14ac:dyDescent="0.2">
      <c r="B30" s="2">
        <f>+B29+0.1</f>
        <v>18.400000000000006</v>
      </c>
      <c r="C30" s="42" t="s">
        <v>82</v>
      </c>
      <c r="D30" s="194">
        <v>12.254066673658906</v>
      </c>
      <c r="E30" s="194">
        <v>13.318970787628318</v>
      </c>
      <c r="F30" s="194">
        <v>13.85</v>
      </c>
    </row>
    <row r="31" spans="2:8" ht="25.5" customHeight="1" x14ac:dyDescent="0.2">
      <c r="B31" s="2">
        <v>19</v>
      </c>
      <c r="C31" s="46" t="s">
        <v>296</v>
      </c>
      <c r="D31" s="194">
        <v>0</v>
      </c>
      <c r="E31" s="194">
        <v>0</v>
      </c>
      <c r="F31" s="194">
        <v>0</v>
      </c>
    </row>
    <row r="32" spans="2:8" ht="18" customHeight="1" x14ac:dyDescent="0.2">
      <c r="B32" s="2">
        <v>20</v>
      </c>
      <c r="C32" s="42" t="s">
        <v>83</v>
      </c>
      <c r="D32" s="194">
        <v>0</v>
      </c>
      <c r="E32" s="194">
        <v>0</v>
      </c>
      <c r="F32" s="194">
        <v>0</v>
      </c>
    </row>
    <row r="33" spans="2:6" ht="18" customHeight="1" x14ac:dyDescent="0.25">
      <c r="B33" s="14">
        <v>21</v>
      </c>
      <c r="C33" s="43" t="s">
        <v>84</v>
      </c>
      <c r="D33" s="114">
        <f>SUM(D25:D32)</f>
        <v>47.818433776765445</v>
      </c>
      <c r="E33" s="114">
        <f>SUM(E25:E32)</f>
        <v>50.611888960823855</v>
      </c>
      <c r="F33" s="114">
        <f>SUM(F25:F32)</f>
        <v>52.634634900123366</v>
      </c>
    </row>
    <row r="34" spans="2:6" ht="18" customHeight="1" x14ac:dyDescent="0.25">
      <c r="B34" s="2">
        <v>22</v>
      </c>
      <c r="C34" s="42" t="s">
        <v>17</v>
      </c>
      <c r="D34" s="178"/>
      <c r="E34" s="179"/>
      <c r="F34" s="179"/>
    </row>
    <row r="35" spans="2:6" ht="18" customHeight="1" x14ac:dyDescent="0.2">
      <c r="B35" s="14">
        <v>23</v>
      </c>
      <c r="C35" s="19" t="s">
        <v>85</v>
      </c>
      <c r="D35" s="160">
        <f>ROUND(D33-D34,2)</f>
        <v>47.82</v>
      </c>
      <c r="E35" s="160">
        <f t="shared" ref="E35:F35" si="0">ROUND(E33-E34,2)</f>
        <v>50.61</v>
      </c>
      <c r="F35" s="160">
        <f t="shared" si="0"/>
        <v>52.63</v>
      </c>
    </row>
    <row r="36" spans="2:6" ht="27.75" customHeight="1" x14ac:dyDescent="0.2">
      <c r="B36" s="44"/>
      <c r="D36" s="135"/>
    </row>
    <row r="37" spans="2:6" x14ac:dyDescent="0.2">
      <c r="B37" s="45"/>
    </row>
  </sheetData>
  <mergeCells count="5">
    <mergeCell ref="B6:B8"/>
    <mergeCell ref="C6:C8"/>
    <mergeCell ref="B1:F1"/>
    <mergeCell ref="B3:F3"/>
    <mergeCell ref="A2:F2"/>
  </mergeCells>
  <pageMargins left="1" right="0.25" top="0.25" bottom="0.25" header="0.5" footer="0.5"/>
  <pageSetup paperSize="9" scale="95" fitToHeight="0" orientation="landscape" r:id="rId1"/>
  <headerFooter alignWithMargins="0"/>
  <rowBreaks count="1" manualBreakCount="1">
    <brk id="35"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view="pageBreakPreview" topLeftCell="A34" zoomScale="96" zoomScaleSheetLayoutView="96" workbookViewId="0">
      <selection activeCell="F38" sqref="F38"/>
    </sheetView>
  </sheetViews>
  <sheetFormatPr defaultColWidth="9.28515625" defaultRowHeight="14.25" x14ac:dyDescent="0.2"/>
  <cols>
    <col min="1" max="1" width="2" style="13" customWidth="1"/>
    <col min="2" max="2" width="7" style="13" customWidth="1"/>
    <col min="3" max="3" width="50.28515625" style="13" customWidth="1"/>
    <col min="4" max="5" width="15.7109375" style="13" customWidth="1"/>
    <col min="6" max="6" width="16.140625" style="13" customWidth="1"/>
    <col min="7" max="16384" width="9.28515625" style="13"/>
  </cols>
  <sheetData>
    <row r="1" spans="2:6" ht="14.25" customHeight="1" x14ac:dyDescent="0.2">
      <c r="B1" s="227" t="s">
        <v>304</v>
      </c>
      <c r="C1" s="227"/>
      <c r="D1" s="227"/>
      <c r="E1" s="227"/>
      <c r="F1" s="227"/>
    </row>
    <row r="2" spans="2:6" ht="14.25" customHeight="1" x14ac:dyDescent="0.2">
      <c r="B2" s="35"/>
      <c r="C2" s="35" t="str">
        <f>'F1'!$F$3</f>
        <v>Lower Jurala HES</v>
      </c>
      <c r="D2" s="35"/>
      <c r="E2" s="35"/>
      <c r="F2" s="35"/>
    </row>
    <row r="3" spans="2:6" s="4" customFormat="1" ht="15" x14ac:dyDescent="0.2">
      <c r="B3" s="227" t="s">
        <v>307</v>
      </c>
      <c r="C3" s="227"/>
      <c r="D3" s="227"/>
      <c r="E3" s="227"/>
      <c r="F3" s="227"/>
    </row>
    <row r="4" spans="2:6" ht="15" x14ac:dyDescent="0.2">
      <c r="F4" s="26" t="s">
        <v>4</v>
      </c>
    </row>
    <row r="5" spans="2:6" ht="12.75" customHeight="1" x14ac:dyDescent="0.2">
      <c r="B5" s="222" t="s">
        <v>169</v>
      </c>
      <c r="C5" s="220" t="s">
        <v>18</v>
      </c>
      <c r="D5" s="15" t="s">
        <v>305</v>
      </c>
      <c r="E5" s="15" t="s">
        <v>306</v>
      </c>
      <c r="F5" s="23" t="s">
        <v>332</v>
      </c>
    </row>
    <row r="6" spans="2:6" ht="15" x14ac:dyDescent="0.2">
      <c r="B6" s="222"/>
      <c r="C6" s="220"/>
      <c r="D6" s="15" t="s">
        <v>212</v>
      </c>
      <c r="E6" s="15" t="s">
        <v>211</v>
      </c>
      <c r="F6" s="15" t="s">
        <v>211</v>
      </c>
    </row>
    <row r="7" spans="2:6" ht="15" x14ac:dyDescent="0.2">
      <c r="B7" s="222"/>
      <c r="C7" s="220"/>
      <c r="D7" s="15" t="s">
        <v>12</v>
      </c>
      <c r="E7" s="15" t="s">
        <v>5</v>
      </c>
      <c r="F7" s="15" t="s">
        <v>8</v>
      </c>
    </row>
    <row r="8" spans="2:6" x14ac:dyDescent="0.2">
      <c r="B8" s="3">
        <v>1</v>
      </c>
      <c r="C8" s="52" t="s">
        <v>86</v>
      </c>
      <c r="D8" s="194">
        <v>4.4942285689006933E-2</v>
      </c>
      <c r="E8" s="194">
        <v>3.7251164374340132E-2</v>
      </c>
      <c r="F8" s="194">
        <v>3.948623423680054E-2</v>
      </c>
    </row>
    <row r="9" spans="2:6" x14ac:dyDescent="0.2">
      <c r="B9" s="3">
        <v>2</v>
      </c>
      <c r="C9" s="53" t="s">
        <v>87</v>
      </c>
      <c r="D9" s="194">
        <v>0</v>
      </c>
      <c r="E9" s="194">
        <v>0</v>
      </c>
      <c r="F9" s="194">
        <v>0</v>
      </c>
    </row>
    <row r="10" spans="2:6" x14ac:dyDescent="0.2">
      <c r="B10" s="3">
        <v>3</v>
      </c>
      <c r="C10" s="53" t="s">
        <v>88</v>
      </c>
      <c r="D10" s="194">
        <v>4.5244019417213267E-2</v>
      </c>
      <c r="E10" s="194">
        <v>5.0773253585546879E-2</v>
      </c>
      <c r="F10" s="194">
        <v>5.3819648800679694E-2</v>
      </c>
    </row>
    <row r="11" spans="2:6" x14ac:dyDescent="0.2">
      <c r="B11" s="3">
        <v>4</v>
      </c>
      <c r="C11" s="53" t="s">
        <v>89</v>
      </c>
      <c r="D11" s="194">
        <v>9.5476437692994798E-2</v>
      </c>
      <c r="E11" s="194">
        <v>0.10688092783958113</v>
      </c>
      <c r="F11" s="194">
        <v>0.113293783509956</v>
      </c>
    </row>
    <row r="12" spans="2:6" x14ac:dyDescent="0.2">
      <c r="B12" s="3">
        <v>5</v>
      </c>
      <c r="C12" s="53" t="s">
        <v>90</v>
      </c>
      <c r="D12" s="194">
        <v>7.2909847330672878E-3</v>
      </c>
      <c r="E12" s="194">
        <v>8.2109318170435243E-3</v>
      </c>
      <c r="F12" s="194">
        <v>8.7035877260661365E-3</v>
      </c>
    </row>
    <row r="13" spans="2:6" x14ac:dyDescent="0.2">
      <c r="B13" s="3">
        <v>6</v>
      </c>
      <c r="C13" s="53" t="s">
        <v>91</v>
      </c>
      <c r="D13" s="194">
        <v>2.4936222005894917E-2</v>
      </c>
      <c r="E13" s="194">
        <v>2.7998757421380829E-2</v>
      </c>
      <c r="F13" s="194">
        <v>2.967868286666368E-2</v>
      </c>
    </row>
    <row r="14" spans="2:6" x14ac:dyDescent="0.2">
      <c r="B14" s="3">
        <v>7</v>
      </c>
      <c r="C14" s="53" t="s">
        <v>92</v>
      </c>
      <c r="D14" s="194">
        <v>0.43176629735354688</v>
      </c>
      <c r="E14" s="194">
        <v>0.43345645942523658</v>
      </c>
      <c r="F14" s="194">
        <v>0.45946384699075082</v>
      </c>
    </row>
    <row r="15" spans="2:6" x14ac:dyDescent="0.2">
      <c r="B15" s="3">
        <v>8</v>
      </c>
      <c r="C15" s="53" t="s">
        <v>93</v>
      </c>
      <c r="D15" s="194">
        <v>6.7841843678775318E-3</v>
      </c>
      <c r="E15" s="194">
        <v>8.7980284617138575E-3</v>
      </c>
      <c r="F15" s="194">
        <v>9.3259101694166888E-3</v>
      </c>
    </row>
    <row r="16" spans="2:6" x14ac:dyDescent="0.2">
      <c r="B16" s="3">
        <v>9</v>
      </c>
      <c r="C16" s="53" t="s">
        <v>94</v>
      </c>
      <c r="D16" s="194">
        <v>0.50163126287448601</v>
      </c>
      <c r="E16" s="194">
        <v>0.54659650151046402</v>
      </c>
      <c r="F16" s="194">
        <v>0.57939229160109185</v>
      </c>
    </row>
    <row r="17" spans="2:6" x14ac:dyDescent="0.2">
      <c r="B17" s="3">
        <v>10</v>
      </c>
      <c r="C17" s="53" t="s">
        <v>95</v>
      </c>
      <c r="D17" s="194">
        <v>0.13596527023266608</v>
      </c>
      <c r="E17" s="194">
        <v>0.15312082033350427</v>
      </c>
      <c r="F17" s="194">
        <v>0.16230806955351454</v>
      </c>
    </row>
    <row r="18" spans="2:6" x14ac:dyDescent="0.2">
      <c r="B18" s="3">
        <v>11</v>
      </c>
      <c r="C18" s="53" t="s">
        <v>96</v>
      </c>
      <c r="D18" s="194">
        <v>1.5488002995804682E-4</v>
      </c>
      <c r="E18" s="194">
        <v>1.6662939055931526E-4</v>
      </c>
      <c r="F18" s="194">
        <v>1.7662715399287417E-4</v>
      </c>
    </row>
    <row r="19" spans="2:6" x14ac:dyDescent="0.2">
      <c r="B19" s="3">
        <v>12</v>
      </c>
      <c r="C19" s="53" t="s">
        <v>97</v>
      </c>
      <c r="D19" s="194">
        <v>0</v>
      </c>
      <c r="E19" s="194">
        <v>0</v>
      </c>
      <c r="F19" s="194">
        <v>0</v>
      </c>
    </row>
    <row r="20" spans="2:6" x14ac:dyDescent="0.2">
      <c r="B20" s="3">
        <v>13</v>
      </c>
      <c r="C20" s="53" t="s">
        <v>98</v>
      </c>
      <c r="D20" s="194">
        <v>8.7152614925434038E-3</v>
      </c>
      <c r="E20" s="194">
        <v>9.8024226012769534E-3</v>
      </c>
      <c r="F20" s="194">
        <v>1.0390567957353571E-2</v>
      </c>
    </row>
    <row r="21" spans="2:6" x14ac:dyDescent="0.2">
      <c r="B21" s="3">
        <v>14</v>
      </c>
      <c r="C21" s="53" t="s">
        <v>99</v>
      </c>
      <c r="D21" s="194">
        <v>3.8117971913178061E-2</v>
      </c>
      <c r="E21" s="194">
        <v>4.4235823323275025E-2</v>
      </c>
      <c r="F21" s="194">
        <v>4.6889972722671529E-2</v>
      </c>
    </row>
    <row r="22" spans="2:6" x14ac:dyDescent="0.2">
      <c r="B22" s="3">
        <v>15</v>
      </c>
      <c r="C22" s="53" t="s">
        <v>100</v>
      </c>
      <c r="D22" s="194">
        <v>0</v>
      </c>
      <c r="E22" s="194">
        <v>0</v>
      </c>
      <c r="F22" s="194">
        <v>0</v>
      </c>
    </row>
    <row r="23" spans="2:6" x14ac:dyDescent="0.2">
      <c r="B23" s="3">
        <v>16</v>
      </c>
      <c r="C23" s="52" t="s">
        <v>101</v>
      </c>
      <c r="D23" s="194">
        <v>0</v>
      </c>
      <c r="E23" s="194">
        <v>0</v>
      </c>
      <c r="F23" s="194">
        <v>0</v>
      </c>
    </row>
    <row r="24" spans="2:6" x14ac:dyDescent="0.2">
      <c r="B24" s="3">
        <v>17</v>
      </c>
      <c r="C24" s="52" t="s">
        <v>102</v>
      </c>
      <c r="D24" s="194">
        <v>0</v>
      </c>
      <c r="E24" s="194">
        <v>0</v>
      </c>
      <c r="F24" s="194">
        <v>0</v>
      </c>
    </row>
    <row r="25" spans="2:6" x14ac:dyDescent="0.2">
      <c r="B25" s="3">
        <v>18</v>
      </c>
      <c r="C25" s="53" t="s">
        <v>103</v>
      </c>
      <c r="D25" s="194">
        <v>2.757717701085869E-2</v>
      </c>
      <c r="E25" s="194">
        <v>3.1189503906536589E-2</v>
      </c>
      <c r="F25" s="194">
        <v>3.3060874140928787E-2</v>
      </c>
    </row>
    <row r="26" spans="2:6" x14ac:dyDescent="0.2">
      <c r="B26" s="3">
        <v>19</v>
      </c>
      <c r="C26" s="53" t="s">
        <v>104</v>
      </c>
      <c r="D26" s="194">
        <v>0.50842757140674211</v>
      </c>
      <c r="E26" s="194">
        <v>0.56001387145686465</v>
      </c>
      <c r="F26" s="194">
        <v>0.59361470374427661</v>
      </c>
    </row>
    <row r="27" spans="2:6" x14ac:dyDescent="0.2">
      <c r="B27" s="3">
        <v>20</v>
      </c>
      <c r="C27" s="53" t="s">
        <v>105</v>
      </c>
      <c r="D27" s="194">
        <v>0</v>
      </c>
      <c r="E27" s="194">
        <v>0</v>
      </c>
      <c r="F27" s="194">
        <v>0</v>
      </c>
    </row>
    <row r="28" spans="2:6" x14ac:dyDescent="0.2">
      <c r="B28" s="3">
        <v>21</v>
      </c>
      <c r="C28" s="53" t="s">
        <v>106</v>
      </c>
      <c r="D28" s="194">
        <v>0</v>
      </c>
      <c r="E28" s="194">
        <v>0</v>
      </c>
      <c r="F28" s="194">
        <v>0</v>
      </c>
    </row>
    <row r="29" spans="2:6" x14ac:dyDescent="0.2">
      <c r="B29" s="3">
        <v>22</v>
      </c>
      <c r="C29" s="53" t="s">
        <v>107</v>
      </c>
      <c r="D29" s="194">
        <v>1.804216986645603E-6</v>
      </c>
      <c r="E29" s="194">
        <v>2.0318658182495544E-6</v>
      </c>
      <c r="F29" s="194">
        <v>2.1537777673445276E-6</v>
      </c>
    </row>
    <row r="30" spans="2:6" x14ac:dyDescent="0.2">
      <c r="B30" s="3">
        <v>23</v>
      </c>
      <c r="C30" s="53" t="s">
        <v>108</v>
      </c>
      <c r="D30" s="194">
        <v>0</v>
      </c>
      <c r="E30" s="194">
        <v>0</v>
      </c>
      <c r="F30" s="194">
        <v>0</v>
      </c>
    </row>
    <row r="31" spans="2:6" x14ac:dyDescent="0.2">
      <c r="B31" s="3">
        <v>24</v>
      </c>
      <c r="C31" s="53" t="s">
        <v>109</v>
      </c>
      <c r="D31" s="194">
        <v>1.8000398162514569E-2</v>
      </c>
      <c r="E31" s="194">
        <v>2.0274231509845742E-2</v>
      </c>
      <c r="F31" s="194">
        <v>2.1490685400436488E-2</v>
      </c>
    </row>
    <row r="32" spans="2:6" x14ac:dyDescent="0.2">
      <c r="B32" s="3">
        <v>25</v>
      </c>
      <c r="C32" s="53" t="s">
        <v>110</v>
      </c>
      <c r="D32" s="194">
        <v>0</v>
      </c>
      <c r="E32" s="194">
        <v>0</v>
      </c>
      <c r="F32" s="194">
        <v>0</v>
      </c>
    </row>
    <row r="33" spans="2:6" x14ac:dyDescent="0.2">
      <c r="B33" s="3">
        <v>26</v>
      </c>
      <c r="C33" s="53" t="s">
        <v>111</v>
      </c>
      <c r="D33" s="194">
        <v>0</v>
      </c>
      <c r="E33" s="194">
        <v>0</v>
      </c>
      <c r="F33" s="194">
        <v>0</v>
      </c>
    </row>
    <row r="34" spans="2:6" x14ac:dyDescent="0.2">
      <c r="B34" s="3">
        <v>27</v>
      </c>
      <c r="C34" s="53" t="s">
        <v>112</v>
      </c>
      <c r="D34" s="194">
        <v>4.9802722901771679E-3</v>
      </c>
      <c r="E34" s="194">
        <v>5.4785130578737136E-3</v>
      </c>
      <c r="F34" s="194">
        <v>5.8072238413461371E-3</v>
      </c>
    </row>
    <row r="35" spans="2:6" x14ac:dyDescent="0.2">
      <c r="B35" s="3">
        <v>28</v>
      </c>
      <c r="C35" s="53" t="s">
        <v>83</v>
      </c>
      <c r="D35" s="194">
        <v>8.6675823566055299E-2</v>
      </c>
      <c r="E35" s="194">
        <v>0.11449151447954563</v>
      </c>
      <c r="F35" s="194">
        <v>0.12136100534831837</v>
      </c>
    </row>
    <row r="36" spans="2:6" ht="15" x14ac:dyDescent="0.25">
      <c r="B36" s="3">
        <v>29</v>
      </c>
      <c r="C36" s="54" t="s">
        <v>113</v>
      </c>
      <c r="D36" s="104">
        <f>SUM(D8:D35)</f>
        <v>1.9866881244557679</v>
      </c>
      <c r="E36" s="104">
        <f>SUM(E8:E35)</f>
        <v>2.1587413863604072</v>
      </c>
      <c r="F36" s="104">
        <f>SUM(F8:F35)</f>
        <v>2.2882658695420317</v>
      </c>
    </row>
    <row r="37" spans="2:6" ht="15" x14ac:dyDescent="0.25">
      <c r="B37" s="3">
        <v>30</v>
      </c>
      <c r="C37" s="42" t="s">
        <v>17</v>
      </c>
      <c r="D37" s="178"/>
      <c r="E37" s="180"/>
      <c r="F37" s="180"/>
    </row>
    <row r="38" spans="2:6" ht="15" x14ac:dyDescent="0.2">
      <c r="B38" s="3">
        <v>31</v>
      </c>
      <c r="C38" s="19" t="s">
        <v>114</v>
      </c>
      <c r="D38" s="104">
        <f>ROUND(D36-D37,2)</f>
        <v>1.99</v>
      </c>
      <c r="E38" s="104">
        <f t="shared" ref="E38:F38" si="0">ROUND(E36-E37,2)</f>
        <v>2.16</v>
      </c>
      <c r="F38" s="104">
        <f t="shared" si="0"/>
        <v>2.29</v>
      </c>
    </row>
  </sheetData>
  <mergeCells count="4">
    <mergeCell ref="B5:B7"/>
    <mergeCell ref="C5:C7"/>
    <mergeCell ref="B3:F3"/>
    <mergeCell ref="B1:F1"/>
  </mergeCells>
  <pageMargins left="0.7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22"/>
  <sheetViews>
    <sheetView showGridLines="0" view="pageBreakPreview" zoomScale="90" zoomScaleNormal="98" zoomScaleSheetLayoutView="90" workbookViewId="0">
      <selection activeCell="G18" sqref="G18"/>
    </sheetView>
  </sheetViews>
  <sheetFormatPr defaultColWidth="9.28515625" defaultRowHeight="14.25" x14ac:dyDescent="0.2"/>
  <cols>
    <col min="1" max="1" width="4.5703125" style="13" customWidth="1"/>
    <col min="2" max="2" width="8.7109375" style="55" customWidth="1"/>
    <col min="3" max="3" width="45.7109375" style="13" customWidth="1"/>
    <col min="4" max="5" width="15.7109375" style="13" customWidth="1"/>
    <col min="6" max="6" width="12.28515625" style="13" customWidth="1"/>
    <col min="7" max="16384" width="9.28515625" style="13"/>
  </cols>
  <sheetData>
    <row r="2" spans="2:6" ht="14.25" customHeight="1" x14ac:dyDescent="0.2">
      <c r="B2" s="227" t="s">
        <v>304</v>
      </c>
      <c r="C2" s="227"/>
      <c r="D2" s="227"/>
      <c r="E2" s="227"/>
      <c r="F2" s="227"/>
    </row>
    <row r="3" spans="2:6" ht="14.25" customHeight="1" x14ac:dyDescent="0.2">
      <c r="B3" s="227" t="str">
        <f>'F1'!$F$3</f>
        <v>Lower Jurala HES</v>
      </c>
      <c r="C3" s="227"/>
      <c r="D3" s="227"/>
      <c r="E3" s="227"/>
      <c r="F3" s="227"/>
    </row>
    <row r="4" spans="2:6" s="4" customFormat="1" ht="14.25" customHeight="1" x14ac:dyDescent="0.2">
      <c r="B4" s="227" t="s">
        <v>240</v>
      </c>
      <c r="C4" s="227"/>
      <c r="D4" s="227"/>
      <c r="E4" s="227"/>
      <c r="F4" s="227"/>
    </row>
    <row r="6" spans="2:6" ht="15" x14ac:dyDescent="0.2">
      <c r="F6" s="26" t="s">
        <v>4</v>
      </c>
    </row>
    <row r="7" spans="2:6" ht="12.75" customHeight="1" x14ac:dyDescent="0.2">
      <c r="B7" s="222" t="s">
        <v>169</v>
      </c>
      <c r="C7" s="220" t="s">
        <v>18</v>
      </c>
      <c r="D7" s="15" t="s">
        <v>305</v>
      </c>
      <c r="E7" s="15" t="s">
        <v>306</v>
      </c>
      <c r="F7" s="23" t="s">
        <v>332</v>
      </c>
    </row>
    <row r="8" spans="2:6" ht="15" x14ac:dyDescent="0.2">
      <c r="B8" s="222"/>
      <c r="C8" s="220"/>
      <c r="D8" s="15" t="s">
        <v>212</v>
      </c>
      <c r="E8" s="15" t="s">
        <v>211</v>
      </c>
      <c r="F8" s="15" t="s">
        <v>211</v>
      </c>
    </row>
    <row r="9" spans="2:6" ht="15" x14ac:dyDescent="0.2">
      <c r="B9" s="222"/>
      <c r="C9" s="220"/>
      <c r="D9" s="15" t="s">
        <v>12</v>
      </c>
      <c r="E9" s="15" t="s">
        <v>5</v>
      </c>
      <c r="F9" s="15" t="s">
        <v>8</v>
      </c>
    </row>
    <row r="10" spans="2:6" x14ac:dyDescent="0.2">
      <c r="B10" s="2">
        <v>1</v>
      </c>
      <c r="C10" s="53" t="s">
        <v>115</v>
      </c>
      <c r="D10" s="194">
        <v>3.5351158254571997</v>
      </c>
      <c r="E10" s="194">
        <v>9.8167933466106128</v>
      </c>
      <c r="F10" s="194">
        <v>10.405800947407251</v>
      </c>
    </row>
    <row r="11" spans="2:6" x14ac:dyDescent="0.2">
      <c r="B11" s="2">
        <v>2</v>
      </c>
      <c r="C11" s="53" t="s">
        <v>116</v>
      </c>
      <c r="D11" s="194">
        <v>0.47387579700869686</v>
      </c>
      <c r="E11" s="194">
        <v>0.49596928951959979</v>
      </c>
      <c r="F11" s="194">
        <v>0.52572744689077577</v>
      </c>
    </row>
    <row r="12" spans="2:6" x14ac:dyDescent="0.2">
      <c r="B12" s="2">
        <v>3</v>
      </c>
      <c r="C12" s="53" t="s">
        <v>117</v>
      </c>
      <c r="D12" s="194">
        <v>0</v>
      </c>
      <c r="E12" s="194">
        <v>0</v>
      </c>
      <c r="F12" s="194">
        <v>0</v>
      </c>
    </row>
    <row r="13" spans="2:6" x14ac:dyDescent="0.2">
      <c r="B13" s="2">
        <v>4</v>
      </c>
      <c r="C13" s="53" t="s">
        <v>118</v>
      </c>
      <c r="D13" s="194">
        <v>1.13324025E-2</v>
      </c>
      <c r="E13" s="194">
        <v>1.2087761256771759E-2</v>
      </c>
      <c r="F13" s="194">
        <v>1.2813026932178066E-2</v>
      </c>
    </row>
    <row r="14" spans="2:6" x14ac:dyDescent="0.2">
      <c r="B14" s="2">
        <v>5</v>
      </c>
      <c r="C14" s="53" t="s">
        <v>119</v>
      </c>
      <c r="D14" s="194">
        <v>0.11027571313539908</v>
      </c>
      <c r="E14" s="194">
        <v>0.11401868220042208</v>
      </c>
      <c r="F14" s="194">
        <v>0.1208598031324474</v>
      </c>
    </row>
    <row r="15" spans="2:6" x14ac:dyDescent="0.2">
      <c r="B15" s="2">
        <v>6</v>
      </c>
      <c r="C15" s="53" t="s">
        <v>120</v>
      </c>
      <c r="D15" s="194">
        <v>6.7110049045779607E-3</v>
      </c>
      <c r="E15" s="194">
        <v>7.1404595329543578E-3</v>
      </c>
      <c r="F15" s="194">
        <v>7.5688871049316197E-3</v>
      </c>
    </row>
    <row r="16" spans="2:6" x14ac:dyDescent="0.2">
      <c r="B16" s="2">
        <v>7</v>
      </c>
      <c r="C16" s="53" t="s">
        <v>121</v>
      </c>
      <c r="D16" s="194">
        <v>1.4515000000000001E-3</v>
      </c>
      <c r="E16" s="194">
        <v>1.5482494082083838E-3</v>
      </c>
      <c r="F16" s="194">
        <v>1.6411443727008868E-3</v>
      </c>
    </row>
    <row r="17" spans="2:6" x14ac:dyDescent="0.2">
      <c r="B17" s="2">
        <v>8</v>
      </c>
      <c r="C17" s="53" t="s">
        <v>122</v>
      </c>
      <c r="D17" s="194">
        <v>0.14696359754915425</v>
      </c>
      <c r="E17" s="194">
        <v>0.159</v>
      </c>
      <c r="F17" s="194">
        <v>0.16449374811572706</v>
      </c>
    </row>
    <row r="18" spans="2:6" ht="15" x14ac:dyDescent="0.25">
      <c r="B18" s="2">
        <v>9</v>
      </c>
      <c r="C18" s="54" t="s">
        <v>123</v>
      </c>
      <c r="D18" s="104">
        <f>ROUND(SUM(D10:D17),2)</f>
        <v>4.29</v>
      </c>
      <c r="E18" s="104">
        <f t="shared" ref="E18:F18" si="0">ROUND(SUM(E10:E17),2)</f>
        <v>10.61</v>
      </c>
      <c r="F18" s="104">
        <f t="shared" si="0"/>
        <v>11.24</v>
      </c>
    </row>
    <row r="19" spans="2:6" ht="15" x14ac:dyDescent="0.25">
      <c r="B19" s="2"/>
      <c r="C19" s="52"/>
      <c r="D19" s="178"/>
      <c r="E19" s="181"/>
      <c r="F19" s="182"/>
    </row>
    <row r="20" spans="2:6" ht="15" x14ac:dyDescent="0.2">
      <c r="B20" s="2">
        <v>10</v>
      </c>
      <c r="C20" s="56" t="s">
        <v>124</v>
      </c>
      <c r="D20" s="104">
        <f>'F4'!F21</f>
        <v>1635.81</v>
      </c>
      <c r="E20" s="104">
        <f>'F4'!F37</f>
        <v>1644.24</v>
      </c>
      <c r="F20" s="104">
        <f>'F4'!F53</f>
        <v>1644.24</v>
      </c>
    </row>
    <row r="21" spans="2:6" ht="28.5" x14ac:dyDescent="0.2">
      <c r="B21" s="2">
        <v>11</v>
      </c>
      <c r="C21" s="56" t="s">
        <v>125</v>
      </c>
      <c r="D21" s="113">
        <f>IFERROR(D18/D20,0)</f>
        <v>2.6225539640911842E-3</v>
      </c>
      <c r="E21" s="113">
        <f>IFERROR(E18/E20,0)</f>
        <v>6.4528292706660826E-3</v>
      </c>
      <c r="F21" s="113">
        <f>IFERROR(F18/F20,0)</f>
        <v>6.835985014353136E-3</v>
      </c>
    </row>
    <row r="22" spans="2:6" x14ac:dyDescent="0.2">
      <c r="B22" s="2"/>
      <c r="C22" s="52"/>
      <c r="D22" s="3"/>
      <c r="E22" s="3"/>
      <c r="F22" s="3"/>
    </row>
  </sheetData>
  <mergeCells count="5">
    <mergeCell ref="B7:B9"/>
    <mergeCell ref="C7:C9"/>
    <mergeCell ref="B4:F4"/>
    <mergeCell ref="B2:F2"/>
    <mergeCell ref="B3:F3"/>
  </mergeCells>
  <pageMargins left="1.25" right="0.75"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view="pageBreakPreview" zoomScale="90" zoomScaleNormal="118" zoomScaleSheetLayoutView="90" workbookViewId="0">
      <selection activeCell="M22" sqref="M22"/>
    </sheetView>
  </sheetViews>
  <sheetFormatPr defaultColWidth="9.28515625" defaultRowHeight="14.25" x14ac:dyDescent="0.2"/>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5.140625" style="4" customWidth="1"/>
    <col min="9" max="9" width="11.7109375" style="4" bestFit="1" customWidth="1"/>
    <col min="10" max="10" width="12.140625" style="4" customWidth="1"/>
    <col min="11" max="16384" width="9.28515625" style="4"/>
  </cols>
  <sheetData>
    <row r="1" spans="2:10" ht="15" x14ac:dyDescent="0.25">
      <c r="B1" s="57"/>
    </row>
    <row r="2" spans="2:10" ht="14.25" customHeight="1" x14ac:dyDescent="0.2">
      <c r="B2" s="227" t="s">
        <v>304</v>
      </c>
      <c r="C2" s="227"/>
      <c r="D2" s="227"/>
      <c r="E2" s="227"/>
      <c r="F2" s="227"/>
      <c r="G2" s="227"/>
      <c r="H2" s="227"/>
      <c r="I2" s="227"/>
      <c r="J2" s="227"/>
    </row>
    <row r="3" spans="2:10" ht="14.25" customHeight="1" x14ac:dyDescent="0.2">
      <c r="B3" s="227" t="str">
        <f>'F1'!$F$3</f>
        <v>Lower Jurala HES</v>
      </c>
      <c r="C3" s="227"/>
      <c r="D3" s="227"/>
      <c r="E3" s="227"/>
      <c r="F3" s="227"/>
      <c r="G3" s="227"/>
      <c r="H3" s="227"/>
      <c r="I3" s="227"/>
      <c r="J3" s="227"/>
    </row>
    <row r="4" spans="2:10" ht="14.25" customHeight="1" x14ac:dyDescent="0.2">
      <c r="B4" s="227" t="s">
        <v>241</v>
      </c>
      <c r="C4" s="227"/>
      <c r="D4" s="227"/>
      <c r="E4" s="227"/>
      <c r="F4" s="227"/>
      <c r="G4" s="227"/>
      <c r="H4" s="227"/>
      <c r="I4" s="227"/>
      <c r="J4" s="227"/>
    </row>
    <row r="5" spans="2:10" ht="15" x14ac:dyDescent="0.25">
      <c r="B5" s="36"/>
      <c r="C5" s="58"/>
      <c r="D5" s="58"/>
      <c r="E5" s="58"/>
      <c r="F5" s="58"/>
      <c r="G5" s="58"/>
      <c r="H5" s="58"/>
    </row>
    <row r="6" spans="2:10" ht="15" x14ac:dyDescent="0.2">
      <c r="J6" s="26" t="s">
        <v>4</v>
      </c>
    </row>
    <row r="7" spans="2:10" s="13" customFormat="1" ht="15" customHeight="1" x14ac:dyDescent="0.2">
      <c r="B7" s="217" t="s">
        <v>169</v>
      </c>
      <c r="C7" s="220" t="s">
        <v>18</v>
      </c>
      <c r="D7" s="224" t="s">
        <v>305</v>
      </c>
      <c r="E7" s="225"/>
      <c r="F7" s="226"/>
      <c r="G7" s="224" t="s">
        <v>306</v>
      </c>
      <c r="H7" s="226"/>
      <c r="I7" s="224" t="s">
        <v>332</v>
      </c>
      <c r="J7" s="226"/>
    </row>
    <row r="8" spans="2:10" s="13" customFormat="1" ht="45" x14ac:dyDescent="0.2">
      <c r="B8" s="218"/>
      <c r="C8" s="220"/>
      <c r="D8" s="15" t="s">
        <v>277</v>
      </c>
      <c r="E8" s="15" t="s">
        <v>212</v>
      </c>
      <c r="F8" s="15" t="s">
        <v>183</v>
      </c>
      <c r="G8" s="15" t="s">
        <v>277</v>
      </c>
      <c r="H8" s="15" t="s">
        <v>211</v>
      </c>
      <c r="I8" s="15" t="s">
        <v>277</v>
      </c>
      <c r="J8" s="15" t="s">
        <v>211</v>
      </c>
    </row>
    <row r="9" spans="2:10" s="13" customFormat="1" ht="15" x14ac:dyDescent="0.2">
      <c r="B9" s="219"/>
      <c r="C9" s="221"/>
      <c r="D9" s="15" t="s">
        <v>10</v>
      </c>
      <c r="E9" s="15" t="s">
        <v>12</v>
      </c>
      <c r="F9" s="15" t="s">
        <v>203</v>
      </c>
      <c r="G9" s="15" t="s">
        <v>10</v>
      </c>
      <c r="H9" s="15" t="s">
        <v>5</v>
      </c>
      <c r="I9" s="15" t="s">
        <v>10</v>
      </c>
      <c r="J9" s="15" t="s">
        <v>8</v>
      </c>
    </row>
    <row r="10" spans="2:10" s="5" customFormat="1" x14ac:dyDescent="0.2">
      <c r="B10" s="61">
        <v>1</v>
      </c>
      <c r="C10" s="27" t="s">
        <v>216</v>
      </c>
      <c r="D10" s="2"/>
      <c r="E10" s="27"/>
      <c r="F10" s="27"/>
      <c r="G10" s="103"/>
      <c r="H10" s="103">
        <f>E13</f>
        <v>0</v>
      </c>
      <c r="I10" s="103"/>
      <c r="J10" s="103">
        <f>H13</f>
        <v>0</v>
      </c>
    </row>
    <row r="11" spans="2:10" s="5" customFormat="1" x14ac:dyDescent="0.2">
      <c r="B11" s="20">
        <v>2</v>
      </c>
      <c r="C11" s="27" t="s">
        <v>244</v>
      </c>
      <c r="D11" s="2"/>
      <c r="E11" s="100">
        <v>8.43</v>
      </c>
      <c r="F11" s="100">
        <v>8.43</v>
      </c>
      <c r="G11" s="21"/>
      <c r="H11" s="103"/>
      <c r="I11" s="103"/>
      <c r="J11" s="103">
        <v>12.6</v>
      </c>
    </row>
    <row r="12" spans="2:10" s="5" customFormat="1" ht="15" x14ac:dyDescent="0.2">
      <c r="B12" s="20">
        <v>3</v>
      </c>
      <c r="C12" s="29" t="s">
        <v>197</v>
      </c>
      <c r="D12" s="111"/>
      <c r="E12" s="116">
        <f>E11</f>
        <v>8.43</v>
      </c>
      <c r="F12" s="116">
        <v>8.43</v>
      </c>
      <c r="G12" s="111"/>
      <c r="H12" s="102"/>
      <c r="I12" s="102"/>
      <c r="J12" s="102">
        <v>12.6</v>
      </c>
    </row>
    <row r="13" spans="2:10" s="5" customFormat="1" ht="15" x14ac:dyDescent="0.2">
      <c r="B13" s="20">
        <v>4</v>
      </c>
      <c r="C13" s="27" t="s">
        <v>217</v>
      </c>
      <c r="D13" s="112">
        <f>D10+D11-D12</f>
        <v>0</v>
      </c>
      <c r="E13" s="112">
        <f t="shared" ref="E13:J13" si="0">E10+E11-E12</f>
        <v>0</v>
      </c>
      <c r="F13" s="112">
        <f t="shared" si="0"/>
        <v>0</v>
      </c>
      <c r="G13" s="112">
        <f t="shared" si="0"/>
        <v>0</v>
      </c>
      <c r="H13" s="112">
        <f>H10+H11-H12</f>
        <v>0</v>
      </c>
      <c r="I13" s="112">
        <f>I10+I11-I12</f>
        <v>0</v>
      </c>
      <c r="J13" s="112">
        <f t="shared" si="0"/>
        <v>0</v>
      </c>
    </row>
    <row r="14" spans="2:10" s="32" customFormat="1" ht="15" x14ac:dyDescent="0.2">
      <c r="B14" s="62"/>
      <c r="C14" s="49"/>
      <c r="D14" s="59"/>
      <c r="E14" s="59"/>
      <c r="F14" s="59"/>
      <c r="G14" s="60"/>
      <c r="H14" s="24"/>
    </row>
    <row r="16" spans="2:10" x14ac:dyDescent="0.2">
      <c r="B16" s="63"/>
    </row>
  </sheetData>
  <mergeCells count="8">
    <mergeCell ref="B2:J2"/>
    <mergeCell ref="B3:J3"/>
    <mergeCell ref="B4:J4"/>
    <mergeCell ref="I7:J7"/>
    <mergeCell ref="B7:B9"/>
    <mergeCell ref="C7:C9"/>
    <mergeCell ref="D7:F7"/>
    <mergeCell ref="G7:H7"/>
  </mergeCells>
  <pageMargins left="0.27"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5"/>
  <sheetViews>
    <sheetView showGridLines="0" view="pageBreakPreview" zoomScale="90" zoomScaleNormal="106" zoomScaleSheetLayoutView="90" workbookViewId="0">
      <selection sqref="A1:XFD1048576"/>
    </sheetView>
  </sheetViews>
  <sheetFormatPr defaultRowHeight="14.25" x14ac:dyDescent="0.2"/>
  <cols>
    <col min="1" max="1" width="4.140625" style="5" customWidth="1"/>
    <col min="2" max="2" width="6.28515625" style="5" customWidth="1"/>
    <col min="3" max="3" width="13.5703125" style="5" customWidth="1"/>
    <col min="4" max="4" width="22" style="5" customWidth="1"/>
    <col min="5" max="5" width="52.140625" style="5" customWidth="1"/>
    <col min="6" max="6" width="16.5703125" style="5" customWidth="1"/>
    <col min="7" max="7" width="23.5703125" style="5" customWidth="1"/>
    <col min="8" max="8" width="21.7109375" style="5" customWidth="1"/>
    <col min="9" max="9" width="35" style="5" customWidth="1"/>
    <col min="10" max="10" width="35.85546875" style="5" customWidth="1"/>
    <col min="11" max="11" width="36.42578125" style="5" customWidth="1"/>
    <col min="12" max="12" width="28.710937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7" ht="15" x14ac:dyDescent="0.2">
      <c r="B1" s="209"/>
    </row>
    <row r="2" spans="2:17" ht="15" x14ac:dyDescent="0.2">
      <c r="B2" s="243" t="s">
        <v>304</v>
      </c>
      <c r="C2" s="243"/>
      <c r="D2" s="243"/>
      <c r="E2" s="243"/>
      <c r="F2" s="243"/>
      <c r="G2" s="243"/>
      <c r="H2" s="243"/>
      <c r="I2" s="243"/>
      <c r="J2" s="243"/>
      <c r="K2" s="243"/>
      <c r="L2" s="243"/>
    </row>
    <row r="3" spans="2:17" ht="15" x14ac:dyDescent="0.2">
      <c r="B3" s="243" t="s">
        <v>335</v>
      </c>
      <c r="C3" s="243"/>
      <c r="D3" s="243"/>
      <c r="E3" s="243"/>
      <c r="F3" s="243"/>
      <c r="G3" s="243"/>
      <c r="H3" s="243"/>
      <c r="I3" s="243"/>
      <c r="J3" s="243"/>
      <c r="K3" s="243"/>
      <c r="L3" s="243"/>
    </row>
    <row r="4" spans="2:17" ht="15" x14ac:dyDescent="0.2">
      <c r="B4" s="227" t="s">
        <v>242</v>
      </c>
      <c r="C4" s="227"/>
      <c r="D4" s="227"/>
      <c r="E4" s="227"/>
      <c r="F4" s="227"/>
      <c r="G4" s="227"/>
      <c r="H4" s="227"/>
      <c r="I4" s="227"/>
      <c r="J4" s="227"/>
      <c r="K4" s="227"/>
      <c r="L4" s="227"/>
    </row>
    <row r="5" spans="2:17" ht="15" x14ac:dyDescent="0.2">
      <c r="K5" s="208"/>
    </row>
    <row r="6" spans="2:17" ht="60" x14ac:dyDescent="0.2">
      <c r="B6" s="244" t="s">
        <v>169</v>
      </c>
      <c r="C6" s="245" t="s">
        <v>218</v>
      </c>
      <c r="D6" s="169" t="s">
        <v>351</v>
      </c>
      <c r="E6" s="245" t="s">
        <v>219</v>
      </c>
      <c r="F6" s="169" t="s">
        <v>352</v>
      </c>
      <c r="G6" s="169" t="s">
        <v>353</v>
      </c>
      <c r="H6" s="169" t="s">
        <v>223</v>
      </c>
      <c r="I6" s="169" t="s">
        <v>354</v>
      </c>
      <c r="J6" s="245" t="s">
        <v>220</v>
      </c>
      <c r="K6" s="169" t="s">
        <v>224</v>
      </c>
      <c r="L6" s="169" t="s">
        <v>163</v>
      </c>
      <c r="M6" s="25"/>
      <c r="N6" s="25"/>
      <c r="O6" s="25"/>
      <c r="P6" s="25"/>
    </row>
    <row r="7" spans="2:17" s="32" customFormat="1" ht="15" x14ac:dyDescent="0.2">
      <c r="B7" s="158"/>
      <c r="C7" s="169" t="s">
        <v>355</v>
      </c>
      <c r="D7" s="246"/>
      <c r="E7" s="246"/>
      <c r="F7" s="246"/>
      <c r="G7" s="246"/>
      <c r="H7" s="246"/>
      <c r="I7" s="246"/>
      <c r="J7" s="246"/>
      <c r="K7" s="169"/>
      <c r="L7" s="247"/>
      <c r="M7" s="209"/>
      <c r="N7" s="209"/>
      <c r="O7" s="209"/>
      <c r="P7" s="209"/>
      <c r="Q7" s="209"/>
    </row>
    <row r="8" spans="2:17" ht="15" x14ac:dyDescent="0.2">
      <c r="B8" s="158">
        <v>1</v>
      </c>
      <c r="C8" s="169" t="s">
        <v>355</v>
      </c>
      <c r="D8" s="174" t="s">
        <v>356</v>
      </c>
      <c r="E8" s="174" t="s">
        <v>357</v>
      </c>
      <c r="F8" s="248">
        <v>4.552575</v>
      </c>
      <c r="G8" s="245"/>
      <c r="H8" s="248">
        <f t="shared" ref="H8:H13" si="0">F8</f>
        <v>4.552575</v>
      </c>
      <c r="I8" s="245" t="s">
        <v>358</v>
      </c>
      <c r="J8" s="174"/>
      <c r="K8" s="174"/>
      <c r="L8" s="245" t="s">
        <v>357</v>
      </c>
    </row>
    <row r="9" spans="2:17" ht="15" x14ac:dyDescent="0.2">
      <c r="B9" s="158">
        <v>2</v>
      </c>
      <c r="C9" s="158"/>
      <c r="D9" s="174" t="s">
        <v>356</v>
      </c>
      <c r="E9" s="174" t="s">
        <v>359</v>
      </c>
      <c r="F9" s="248">
        <v>3.01617E-2</v>
      </c>
      <c r="G9" s="245"/>
      <c r="H9" s="248">
        <f t="shared" si="0"/>
        <v>3.01617E-2</v>
      </c>
      <c r="I9" s="245" t="s">
        <v>116</v>
      </c>
      <c r="J9" s="174"/>
      <c r="K9" s="174"/>
      <c r="L9" s="174"/>
    </row>
    <row r="10" spans="2:17" ht="15" x14ac:dyDescent="0.2">
      <c r="B10" s="158">
        <v>3</v>
      </c>
      <c r="C10" s="158"/>
      <c r="D10" s="174" t="s">
        <v>360</v>
      </c>
      <c r="E10" s="174" t="s">
        <v>361</v>
      </c>
      <c r="F10" s="248">
        <v>1.9934892</v>
      </c>
      <c r="G10" s="245"/>
      <c r="H10" s="248">
        <f t="shared" si="0"/>
        <v>1.9934892</v>
      </c>
      <c r="I10" s="245"/>
      <c r="J10" s="174"/>
      <c r="K10" s="174"/>
      <c r="L10" s="174"/>
    </row>
    <row r="11" spans="2:17" ht="15" x14ac:dyDescent="0.2">
      <c r="B11" s="158">
        <v>4</v>
      </c>
      <c r="C11" s="158"/>
      <c r="D11" s="174" t="s">
        <v>356</v>
      </c>
      <c r="E11" s="174" t="s">
        <v>362</v>
      </c>
      <c r="F11" s="248">
        <v>4.9785016000000004</v>
      </c>
      <c r="G11" s="245"/>
      <c r="H11" s="248">
        <f t="shared" si="0"/>
        <v>4.9785016000000004</v>
      </c>
      <c r="I11" s="245"/>
      <c r="J11" s="174"/>
      <c r="K11" s="174"/>
      <c r="L11" s="174"/>
    </row>
    <row r="12" spans="2:17" ht="28.5" x14ac:dyDescent="0.2">
      <c r="B12" s="158"/>
      <c r="C12" s="158"/>
      <c r="D12" s="174" t="s">
        <v>356</v>
      </c>
      <c r="E12" s="202" t="s">
        <v>363</v>
      </c>
      <c r="F12" s="248">
        <v>1.4203336</v>
      </c>
      <c r="G12" s="245"/>
      <c r="H12" s="248">
        <f t="shared" si="0"/>
        <v>1.4203336</v>
      </c>
      <c r="I12" s="245"/>
      <c r="J12" s="174"/>
      <c r="K12" s="174"/>
      <c r="L12" s="174"/>
    </row>
    <row r="13" spans="2:17" ht="15" x14ac:dyDescent="0.2">
      <c r="B13" s="158"/>
      <c r="C13" s="158"/>
      <c r="D13" s="174" t="s">
        <v>364</v>
      </c>
      <c r="E13" s="202" t="s">
        <v>365</v>
      </c>
      <c r="F13" s="248">
        <v>0.18691749999999999</v>
      </c>
      <c r="G13" s="245"/>
      <c r="H13" s="248">
        <f t="shared" si="0"/>
        <v>0.18691749999999999</v>
      </c>
      <c r="I13" s="245"/>
      <c r="J13" s="174"/>
      <c r="K13" s="174"/>
      <c r="L13" s="174"/>
    </row>
    <row r="14" spans="2:17" ht="15" customHeight="1" x14ac:dyDescent="0.2">
      <c r="B14" s="174"/>
      <c r="C14" s="174" t="s">
        <v>9</v>
      </c>
      <c r="D14" s="174"/>
      <c r="E14" s="174"/>
      <c r="F14" s="245"/>
      <c r="G14" s="245"/>
      <c r="H14" s="245"/>
      <c r="I14" s="245"/>
      <c r="J14" s="174"/>
      <c r="K14" s="174"/>
      <c r="L14" s="174"/>
    </row>
    <row r="15" spans="2:17" ht="15" x14ac:dyDescent="0.2">
      <c r="B15" s="174"/>
      <c r="C15" s="245" t="s">
        <v>127</v>
      </c>
      <c r="D15" s="174"/>
      <c r="E15" s="174"/>
      <c r="F15" s="248">
        <f>SUM(F8:F14)</f>
        <v>13.161978599999999</v>
      </c>
      <c r="G15" s="245"/>
      <c r="H15" s="248">
        <f>SUM(H8:H14)</f>
        <v>13.161978599999999</v>
      </c>
      <c r="I15" s="245"/>
      <c r="J15" s="174"/>
      <c r="K15" s="174"/>
      <c r="L15" s="174"/>
    </row>
    <row r="16" spans="2:17" ht="15" x14ac:dyDescent="0.2">
      <c r="B16" s="158"/>
      <c r="C16" s="169" t="s">
        <v>366</v>
      </c>
      <c r="D16" s="174"/>
      <c r="E16" s="174"/>
      <c r="F16" s="174"/>
      <c r="G16" s="174"/>
      <c r="H16" s="174"/>
      <c r="I16" s="174"/>
      <c r="J16" s="174"/>
      <c r="K16" s="174"/>
      <c r="L16" s="174"/>
    </row>
    <row r="17" spans="2:12" ht="99.75" x14ac:dyDescent="0.2">
      <c r="B17" s="158">
        <v>1</v>
      </c>
      <c r="C17" s="158"/>
      <c r="D17" s="34"/>
      <c r="E17" s="249" t="s">
        <v>367</v>
      </c>
      <c r="F17" s="250">
        <v>12.6</v>
      </c>
      <c r="G17" s="251">
        <v>6</v>
      </c>
      <c r="H17" s="252">
        <v>0</v>
      </c>
      <c r="I17" s="245" t="s">
        <v>368</v>
      </c>
      <c r="J17" s="253" t="s">
        <v>369</v>
      </c>
      <c r="K17" s="253" t="s">
        <v>370</v>
      </c>
      <c r="L17" s="254" t="s">
        <v>371</v>
      </c>
    </row>
    <row r="18" spans="2:12" ht="15" x14ac:dyDescent="0.2">
      <c r="B18" s="174"/>
      <c r="C18" s="245" t="s">
        <v>127</v>
      </c>
      <c r="D18" s="174"/>
      <c r="E18" s="174"/>
      <c r="F18" s="248">
        <f>SUM(F17)</f>
        <v>12.6</v>
      </c>
      <c r="G18" s="248">
        <f>SUM(G17)</f>
        <v>6</v>
      </c>
      <c r="H18" s="248">
        <f>SUM(H17:H17)</f>
        <v>0</v>
      </c>
      <c r="I18" s="174"/>
      <c r="J18" s="255"/>
      <c r="K18" s="255"/>
      <c r="L18" s="256"/>
    </row>
    <row r="19" spans="2:12" ht="15" x14ac:dyDescent="0.2">
      <c r="B19" s="158"/>
      <c r="C19" s="169" t="s">
        <v>372</v>
      </c>
      <c r="D19" s="174"/>
      <c r="E19" s="174"/>
      <c r="F19" s="158"/>
      <c r="G19" s="158"/>
      <c r="H19" s="158"/>
      <c r="I19" s="174"/>
      <c r="J19" s="255"/>
      <c r="K19" s="255"/>
      <c r="L19" s="256"/>
    </row>
    <row r="20" spans="2:12" x14ac:dyDescent="0.2">
      <c r="B20" s="158">
        <v>1</v>
      </c>
      <c r="C20" s="158"/>
      <c r="D20" s="158"/>
      <c r="E20" s="257"/>
      <c r="F20" s="158"/>
      <c r="G20" s="158"/>
      <c r="H20" s="258"/>
      <c r="I20" s="174"/>
      <c r="J20" s="255"/>
      <c r="K20" s="255"/>
      <c r="L20" s="256"/>
    </row>
    <row r="21" spans="2:12" ht="99.75" x14ac:dyDescent="0.2">
      <c r="B21" s="158">
        <v>2</v>
      </c>
      <c r="C21" s="158"/>
      <c r="D21" s="158" t="s">
        <v>356</v>
      </c>
      <c r="E21" s="259" t="s">
        <v>367</v>
      </c>
      <c r="F21" s="260">
        <v>12.6</v>
      </c>
      <c r="G21" s="260">
        <v>6.6</v>
      </c>
      <c r="H21" s="261">
        <v>12.6</v>
      </c>
      <c r="I21" s="260" t="s">
        <v>368</v>
      </c>
      <c r="J21" s="262"/>
      <c r="K21" s="262"/>
      <c r="L21" s="263"/>
    </row>
    <row r="22" spans="2:12" ht="15" x14ac:dyDescent="0.2">
      <c r="B22" s="158">
        <v>3</v>
      </c>
      <c r="C22" s="158"/>
      <c r="D22" s="174"/>
      <c r="E22" s="174"/>
      <c r="F22" s="174"/>
      <c r="G22" s="174"/>
      <c r="H22" s="245"/>
      <c r="I22" s="174"/>
      <c r="J22" s="174"/>
      <c r="K22" s="174"/>
      <c r="L22" s="174"/>
    </row>
    <row r="23" spans="2:12" ht="15" x14ac:dyDescent="0.2">
      <c r="B23" s="174"/>
      <c r="C23" s="174" t="s">
        <v>9</v>
      </c>
      <c r="D23" s="174"/>
      <c r="E23" s="174"/>
      <c r="F23" s="174"/>
      <c r="G23" s="174"/>
      <c r="H23" s="245"/>
      <c r="I23" s="174"/>
      <c r="J23" s="174"/>
      <c r="K23" s="174"/>
      <c r="L23" s="174"/>
    </row>
    <row r="24" spans="2:12" ht="15" x14ac:dyDescent="0.2">
      <c r="B24" s="174"/>
      <c r="C24" s="245" t="s">
        <v>127</v>
      </c>
      <c r="D24" s="174"/>
      <c r="E24" s="174"/>
      <c r="F24" s="174"/>
      <c r="G24" s="174"/>
      <c r="H24" s="248">
        <f>SUM(H20:H23)</f>
        <v>12.6</v>
      </c>
      <c r="I24" s="174"/>
      <c r="J24" s="174"/>
      <c r="K24" s="174"/>
      <c r="L24" s="174"/>
    </row>
    <row r="25" spans="2:12" x14ac:dyDescent="0.2">
      <c r="B25" s="62" t="s">
        <v>221</v>
      </c>
      <c r="C25" s="50" t="s">
        <v>222</v>
      </c>
    </row>
  </sheetData>
  <mergeCells count="6">
    <mergeCell ref="B2:L2"/>
    <mergeCell ref="B3:L3"/>
    <mergeCell ref="B4:L4"/>
    <mergeCell ref="J17:J21"/>
    <mergeCell ref="K17:K21"/>
    <mergeCell ref="L17:L21"/>
  </mergeCells>
  <pageMargins left="0.27" right="0.25" top="1" bottom="1" header="0.25" footer="0.25"/>
  <pageSetup paperSize="9" scale="4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showGridLines="0" tabSelected="1" view="pageBreakPreview" zoomScaleSheetLayoutView="100" workbookViewId="0">
      <selection activeCell="F10" sqref="F10"/>
    </sheetView>
  </sheetViews>
  <sheetFormatPr defaultColWidth="9.28515625" defaultRowHeight="14.25" x14ac:dyDescent="0.2"/>
  <cols>
    <col min="1" max="2" width="9.28515625" style="84"/>
    <col min="3" max="3" width="42" style="84" customWidth="1"/>
    <col min="4" max="4" width="16.28515625" style="84" customWidth="1"/>
    <col min="5" max="5" width="12.5703125" style="84" customWidth="1"/>
    <col min="6" max="6" width="16.28515625" style="84" customWidth="1"/>
    <col min="7" max="16384" width="9.28515625" style="84"/>
  </cols>
  <sheetData>
    <row r="2" spans="2:6" ht="15" x14ac:dyDescent="0.2">
      <c r="D2" s="32" t="s">
        <v>304</v>
      </c>
    </row>
    <row r="3" spans="2:6" ht="15" x14ac:dyDescent="0.2">
      <c r="D3" s="32" t="str">
        <f>'F1'!$F$3</f>
        <v>Lower Jurala HES</v>
      </c>
    </row>
    <row r="4" spans="2:6" ht="15" x14ac:dyDescent="0.2">
      <c r="D4" s="35" t="s">
        <v>267</v>
      </c>
    </row>
    <row r="6" spans="2:6" ht="15" customHeight="1" x14ac:dyDescent="0.2">
      <c r="B6" s="222" t="s">
        <v>169</v>
      </c>
      <c r="C6" s="234" t="s">
        <v>18</v>
      </c>
      <c r="D6" s="222" t="s">
        <v>305</v>
      </c>
      <c r="E6" s="125" t="s">
        <v>333</v>
      </c>
      <c r="F6" s="15" t="s">
        <v>332</v>
      </c>
    </row>
    <row r="7" spans="2:6" ht="15" x14ac:dyDescent="0.2">
      <c r="B7" s="222"/>
      <c r="C7" s="234"/>
      <c r="D7" s="222"/>
      <c r="E7" s="15" t="s">
        <v>211</v>
      </c>
      <c r="F7" s="15" t="s">
        <v>201</v>
      </c>
    </row>
    <row r="8" spans="2:6" ht="15" x14ac:dyDescent="0.2">
      <c r="B8" s="222"/>
      <c r="C8" s="234"/>
      <c r="D8" s="85" t="s">
        <v>3</v>
      </c>
      <c r="E8" s="15" t="s">
        <v>5</v>
      </c>
      <c r="F8" s="15" t="s">
        <v>8</v>
      </c>
    </row>
    <row r="9" spans="2:6" ht="15" x14ac:dyDescent="0.2">
      <c r="B9" s="86">
        <v>1</v>
      </c>
      <c r="C9" s="28" t="s">
        <v>268</v>
      </c>
      <c r="D9" s="101">
        <f>'F3'!E12</f>
        <v>8.43</v>
      </c>
      <c r="E9" s="101">
        <v>0</v>
      </c>
      <c r="F9" s="101">
        <f>'F3'!J12</f>
        <v>12.6</v>
      </c>
    </row>
    <row r="10" spans="2:6" x14ac:dyDescent="0.2">
      <c r="B10" s="28"/>
      <c r="C10" s="28"/>
      <c r="D10" s="95"/>
      <c r="E10" s="95"/>
      <c r="F10" s="95"/>
    </row>
    <row r="11" spans="2:6" ht="15" x14ac:dyDescent="0.2">
      <c r="B11" s="86">
        <v>2</v>
      </c>
      <c r="C11" s="87" t="s">
        <v>164</v>
      </c>
      <c r="D11" s="95"/>
      <c r="E11" s="95"/>
      <c r="F11" s="95"/>
    </row>
    <row r="12" spans="2:6" x14ac:dyDescent="0.2">
      <c r="B12" s="28"/>
      <c r="C12" s="28" t="s">
        <v>168</v>
      </c>
      <c r="D12" s="95"/>
      <c r="E12" s="95"/>
      <c r="F12" s="95"/>
    </row>
    <row r="13" spans="2:6" x14ac:dyDescent="0.2">
      <c r="B13" s="28"/>
      <c r="C13" s="28" t="s">
        <v>167</v>
      </c>
      <c r="D13" s="95"/>
      <c r="E13" s="95"/>
      <c r="F13" s="95"/>
    </row>
    <row r="14" spans="2:6" x14ac:dyDescent="0.2">
      <c r="B14" s="28"/>
      <c r="C14" s="28" t="s">
        <v>9</v>
      </c>
      <c r="D14" s="95"/>
      <c r="E14" s="95"/>
      <c r="F14" s="95"/>
    </row>
    <row r="15" spans="2:6" ht="15" x14ac:dyDescent="0.2">
      <c r="B15" s="28"/>
      <c r="C15" s="87" t="s">
        <v>162</v>
      </c>
      <c r="D15" s="101">
        <f>SUM(D12:D14)</f>
        <v>0</v>
      </c>
      <c r="E15" s="101">
        <f>SUM(E12:E14)</f>
        <v>0</v>
      </c>
      <c r="F15" s="101">
        <f>SUM(F12:F14)</f>
        <v>0</v>
      </c>
    </row>
    <row r="16" spans="2:6" x14ac:dyDescent="0.2">
      <c r="B16" s="28"/>
      <c r="C16" s="28"/>
      <c r="D16" s="95"/>
      <c r="E16" s="95"/>
      <c r="F16" s="95"/>
    </row>
    <row r="17" spans="2:6" x14ac:dyDescent="0.2">
      <c r="B17" s="86">
        <v>3</v>
      </c>
      <c r="C17" s="28" t="s">
        <v>0</v>
      </c>
      <c r="D17" s="95"/>
      <c r="E17" s="95"/>
      <c r="F17" s="95"/>
    </row>
    <row r="18" spans="2:6" x14ac:dyDescent="0.2">
      <c r="B18" s="86">
        <v>4</v>
      </c>
      <c r="C18" s="28" t="s">
        <v>165</v>
      </c>
      <c r="D18" s="95">
        <f>D9</f>
        <v>8.43</v>
      </c>
      <c r="E18" s="95">
        <f>E9</f>
        <v>0</v>
      </c>
      <c r="F18" s="95">
        <f>F9</f>
        <v>12.6</v>
      </c>
    </row>
    <row r="19" spans="2:6" x14ac:dyDescent="0.2">
      <c r="B19" s="86">
        <v>5</v>
      </c>
      <c r="C19" s="28" t="s">
        <v>269</v>
      </c>
      <c r="D19" s="95"/>
      <c r="E19" s="95"/>
      <c r="F19" s="95"/>
    </row>
    <row r="20" spans="2:6" ht="15" x14ac:dyDescent="0.2">
      <c r="B20" s="28"/>
      <c r="C20" s="28"/>
      <c r="D20" s="99"/>
      <c r="E20" s="99"/>
      <c r="F20" s="99"/>
    </row>
    <row r="21" spans="2:6" ht="15" x14ac:dyDescent="0.2">
      <c r="B21" s="86">
        <v>6</v>
      </c>
      <c r="C21" s="87" t="s">
        <v>270</v>
      </c>
      <c r="D21" s="101">
        <f>D15+D17+D18+D19</f>
        <v>8.43</v>
      </c>
      <c r="E21" s="101">
        <f>SUM(E18:E20)</f>
        <v>0</v>
      </c>
      <c r="F21" s="101">
        <f>F15+F17+F18+F19</f>
        <v>12.6</v>
      </c>
    </row>
  </sheetData>
  <mergeCells count="3">
    <mergeCell ref="D6:D7"/>
    <mergeCell ref="B6:B8"/>
    <mergeCell ref="C6:C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F13</vt:lpstr>
      <vt:lpstr>F15</vt:lpstr>
      <vt:lpstr>Checklist!Print_Area</vt:lpstr>
      <vt:lpstr>'F7'!Print_Area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2025-11-28T13:27:55Z</cp:lastPrinted>
  <dcterms:created xsi:type="dcterms:W3CDTF">2004-07-28T05:30:50Z</dcterms:created>
  <dcterms:modified xsi:type="dcterms:W3CDTF">2025-12-16T11:21:38Z</dcterms:modified>
</cp:coreProperties>
</file>